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615" windowWidth="17250" windowHeight="10860"/>
  </bookViews>
  <sheets>
    <sheet name="Vantage World Equity Fund" sheetId="2" r:id="rId1"/>
    <sheet name="Monthly Returns" sheetId="3" r:id="rId2"/>
  </sheets>
  <definedNames>
    <definedName name="_xlnm.Print_Area" localSheetId="1">'Monthly Returns'!$E$1:$R$14</definedName>
  </definedNames>
  <calcPr calcId="145621"/>
</workbook>
</file>

<file path=xl/calcChain.xml><?xml version="1.0" encoding="utf-8"?>
<calcChain xmlns="http://schemas.openxmlformats.org/spreadsheetml/2006/main">
  <c r="C4" i="3" l="1"/>
  <c r="B10" i="2"/>
  <c r="E10" i="2" l="1"/>
  <c r="D10" i="2"/>
  <c r="C10" i="2"/>
  <c r="G10" i="2"/>
  <c r="E11" i="2" l="1"/>
  <c r="B11" i="2" l="1"/>
  <c r="G11" i="2" l="1"/>
  <c r="D11" i="2"/>
  <c r="C11" i="2"/>
  <c r="E12" i="2" l="1"/>
  <c r="G12" i="2"/>
  <c r="D12" i="2"/>
  <c r="C12" i="2"/>
  <c r="E13" i="2" l="1"/>
  <c r="G13" i="2" l="1"/>
  <c r="D13" i="2"/>
  <c r="C13" i="2"/>
  <c r="C5" i="3" l="1"/>
  <c r="E14" i="2"/>
  <c r="G14" i="2" l="1"/>
  <c r="D14" i="2"/>
  <c r="C14" i="2"/>
  <c r="E15" i="2" l="1"/>
  <c r="G15" i="2"/>
  <c r="D15" i="2"/>
  <c r="C15" i="2"/>
  <c r="E16" i="2" l="1"/>
  <c r="G16" i="2"/>
  <c r="D16" i="2"/>
  <c r="C16" i="2"/>
  <c r="E17" i="2" l="1"/>
  <c r="G17" i="2" l="1"/>
  <c r="D17" i="2"/>
  <c r="C17" i="2"/>
  <c r="C6" i="3" l="1"/>
  <c r="E18" i="2"/>
  <c r="G18" i="2" l="1"/>
  <c r="D18" i="2"/>
  <c r="C18" i="2"/>
  <c r="E19" i="2" l="1"/>
  <c r="G19" i="2" l="1"/>
  <c r="D19" i="2"/>
  <c r="C19" i="2"/>
  <c r="E20" i="2" l="1"/>
  <c r="G20" i="2" l="1"/>
  <c r="D20" i="2"/>
  <c r="C20" i="2"/>
  <c r="E21" i="2" l="1"/>
  <c r="G21" i="2" l="1"/>
  <c r="D21" i="2"/>
  <c r="C21" i="2"/>
  <c r="E22" i="2" l="1"/>
  <c r="G22" i="2"/>
  <c r="D22" i="2"/>
  <c r="C22" i="2"/>
  <c r="C7" i="3" l="1"/>
  <c r="E23" i="2" l="1"/>
  <c r="G23" i="2" l="1"/>
  <c r="D23" i="2"/>
  <c r="C23" i="2"/>
  <c r="E24" i="2" l="1"/>
  <c r="G24" i="2" l="1"/>
  <c r="D24" i="2"/>
  <c r="C24" i="2"/>
  <c r="E25" i="2" l="1"/>
  <c r="G25" i="2"/>
  <c r="D25" i="2"/>
  <c r="C25" i="2"/>
  <c r="C26" i="2"/>
  <c r="D26" i="2"/>
  <c r="E26" i="2"/>
  <c r="G26" i="2"/>
  <c r="Q21" i="3" l="1"/>
  <c r="R18" i="3"/>
  <c r="C8" i="3"/>
  <c r="E27" i="2"/>
  <c r="G27" i="2" l="1"/>
  <c r="D27" i="2"/>
  <c r="C27" i="2"/>
  <c r="E28" i="2" l="1"/>
  <c r="G28" i="2" l="1"/>
  <c r="D28" i="2"/>
  <c r="C28" i="2"/>
  <c r="E29" i="2" l="1"/>
  <c r="G29" i="2"/>
  <c r="D29" i="2"/>
  <c r="C29" i="2"/>
  <c r="E30" i="2" l="1"/>
  <c r="G30" i="2" l="1"/>
  <c r="D30" i="2"/>
  <c r="C30" i="2"/>
  <c r="C9" i="3" l="1"/>
  <c r="E31" i="2"/>
  <c r="G31" i="2" l="1"/>
  <c r="D31" i="2"/>
  <c r="C31" i="2"/>
  <c r="E32" i="2" l="1"/>
  <c r="G32" i="2"/>
  <c r="D32" i="2"/>
  <c r="C32" i="2"/>
  <c r="G33" i="2" l="1"/>
  <c r="G34" i="2"/>
  <c r="E33" i="2"/>
  <c r="D33" i="2"/>
  <c r="C33" i="2"/>
  <c r="E34" i="2" l="1"/>
  <c r="D34" i="2" l="1"/>
  <c r="C34" i="2"/>
  <c r="C10" i="3" l="1"/>
  <c r="G35" i="2" l="1"/>
  <c r="E35" i="2"/>
  <c r="C35" i="2"/>
  <c r="D35" i="2"/>
  <c r="E36" i="2" l="1"/>
  <c r="C36" i="2"/>
  <c r="D36" i="2"/>
  <c r="G36" i="2"/>
  <c r="E37" i="2" l="1"/>
  <c r="G37" i="2" l="1"/>
  <c r="D37" i="2"/>
  <c r="C37" i="2"/>
  <c r="E38" i="2" l="1"/>
  <c r="G38" i="2"/>
  <c r="D38" i="2"/>
  <c r="C38" i="2"/>
  <c r="G39" i="2" l="1"/>
  <c r="E39" i="2"/>
  <c r="C39" i="2"/>
  <c r="D39" i="2"/>
  <c r="C11" i="3" l="1"/>
  <c r="E40" i="2" l="1"/>
  <c r="G40" i="2"/>
  <c r="D40" i="2"/>
  <c r="C40" i="2"/>
  <c r="E41" i="2" l="1"/>
  <c r="G41" i="2"/>
  <c r="D41" i="2"/>
  <c r="C41" i="2"/>
  <c r="G42" i="2" l="1"/>
  <c r="E42" i="2"/>
  <c r="C42" i="2"/>
  <c r="D42" i="2"/>
  <c r="E43" i="2" l="1"/>
  <c r="G43" i="2" l="1"/>
  <c r="D43" i="2"/>
  <c r="C43" i="2"/>
  <c r="C12" i="3" l="1"/>
  <c r="G44" i="2"/>
  <c r="E44" i="2"/>
  <c r="E45" i="2"/>
  <c r="D44" i="2"/>
  <c r="C44" i="2"/>
  <c r="C45" i="2"/>
  <c r="D45" i="2"/>
  <c r="G45" i="2" l="1"/>
  <c r="E46" i="2" l="1"/>
  <c r="G46" i="2"/>
  <c r="D46" i="2"/>
  <c r="C46" i="2"/>
  <c r="G47" i="2" l="1"/>
  <c r="G48" i="2"/>
  <c r="E47" i="2"/>
  <c r="D47" i="2" l="1"/>
  <c r="C47" i="2"/>
  <c r="E48" i="2"/>
  <c r="D48" i="2"/>
  <c r="C48" i="2"/>
  <c r="R17" i="3" l="1"/>
  <c r="C13" i="3"/>
  <c r="E49" i="2"/>
  <c r="G49" i="2" l="1"/>
  <c r="D49" i="2"/>
  <c r="C49" i="2"/>
  <c r="E50" i="2" l="1"/>
  <c r="G50" i="2"/>
  <c r="D50" i="2"/>
  <c r="C50" i="2"/>
  <c r="E51" i="2" l="1"/>
  <c r="G51" i="2" l="1"/>
  <c r="D51" i="2"/>
  <c r="C51" i="2"/>
  <c r="C14" i="3" l="1"/>
  <c r="G52" i="2" l="1"/>
  <c r="C52" i="2"/>
  <c r="D52" i="2"/>
  <c r="E52" i="2"/>
  <c r="E53" i="2" l="1"/>
  <c r="G53" i="2"/>
  <c r="C53" i="2"/>
  <c r="D53" i="2"/>
  <c r="E54" i="2" l="1"/>
  <c r="G54" i="2" l="1"/>
  <c r="D54" i="2"/>
  <c r="C54" i="2"/>
  <c r="E55" i="2" l="1"/>
  <c r="G55" i="2"/>
  <c r="D55" i="2"/>
  <c r="C55" i="2"/>
  <c r="G56" i="2" l="1"/>
  <c r="E56" i="2"/>
  <c r="D56" i="2"/>
  <c r="C56" i="2"/>
  <c r="C15" i="3" l="1"/>
  <c r="G57" i="2"/>
  <c r="E57" i="2"/>
  <c r="D57" i="2"/>
  <c r="C57" i="2"/>
  <c r="G58" i="2" l="1"/>
  <c r="E58" i="2"/>
  <c r="D58" i="2"/>
  <c r="C58" i="2"/>
  <c r="G59" i="2" l="1"/>
  <c r="E59" i="2"/>
  <c r="D59" i="2"/>
  <c r="C59" i="2"/>
  <c r="G60" i="2" l="1"/>
  <c r="E60" i="2"/>
  <c r="C60" i="2"/>
  <c r="D60" i="2"/>
  <c r="G61" i="2" l="1"/>
  <c r="E61" i="2"/>
  <c r="D61" i="2"/>
  <c r="C61" i="2"/>
  <c r="C16" i="3" l="1"/>
  <c r="E62" i="2"/>
  <c r="G62" i="2"/>
  <c r="D62" i="2"/>
  <c r="C62" i="2"/>
  <c r="G63" i="2" l="1"/>
  <c r="E63" i="2"/>
  <c r="D63" i="2"/>
  <c r="C63" i="2"/>
  <c r="C64" i="2"/>
  <c r="G64" i="2" l="1"/>
  <c r="E64" i="2"/>
  <c r="D64" i="2"/>
  <c r="C17" i="3" l="1"/>
  <c r="G65" i="2" l="1"/>
  <c r="E65" i="2"/>
  <c r="D65" i="2"/>
  <c r="C65" i="2"/>
  <c r="G66" i="2" l="1"/>
  <c r="E66" i="2"/>
  <c r="D66" i="2"/>
  <c r="C66" i="2"/>
  <c r="G67" i="2" l="1"/>
  <c r="E67" i="2"/>
  <c r="D67" i="2"/>
  <c r="C67" i="2"/>
  <c r="D68" i="2"/>
  <c r="C68" i="2"/>
  <c r="D69" i="2"/>
  <c r="C69" i="2"/>
  <c r="E68" i="2" l="1"/>
  <c r="G68" i="2"/>
  <c r="G69" i="2" l="1"/>
  <c r="E69" i="2"/>
  <c r="C70" i="2" l="1"/>
  <c r="D70" i="2"/>
  <c r="E70" i="2"/>
  <c r="G70" i="2"/>
  <c r="C18" i="3" l="1"/>
  <c r="E71" i="2" l="1"/>
  <c r="G71" i="2"/>
  <c r="D71" i="2"/>
  <c r="C71" i="2"/>
  <c r="G72" i="2" l="1"/>
  <c r="E72" i="2"/>
  <c r="E73" i="2"/>
  <c r="D72" i="2"/>
  <c r="C72" i="2"/>
  <c r="G73" i="2" l="1"/>
  <c r="C73" i="2"/>
  <c r="D73" i="2"/>
  <c r="G74" i="2" l="1"/>
  <c r="E74" i="2"/>
  <c r="D74" i="2"/>
  <c r="C74" i="2"/>
  <c r="C19" i="3" l="1"/>
  <c r="G75" i="2" l="1"/>
  <c r="E75" i="2"/>
  <c r="D75" i="2"/>
  <c r="C75" i="2"/>
  <c r="C153" i="3"/>
  <c r="F6" i="3" s="1"/>
  <c r="C152" i="3"/>
  <c r="G6" i="3" s="1"/>
  <c r="C151" i="3"/>
  <c r="H6" i="3" s="1"/>
  <c r="C150" i="3"/>
  <c r="I6" i="3" s="1"/>
  <c r="C149" i="3"/>
  <c r="J6" i="3" s="1"/>
  <c r="C148" i="3"/>
  <c r="K6" i="3" s="1"/>
  <c r="C147" i="3"/>
  <c r="L6" i="3" s="1"/>
  <c r="C146" i="3"/>
  <c r="M6" i="3" s="1"/>
  <c r="C145" i="3"/>
  <c r="N6" i="3" s="1"/>
  <c r="C144" i="3"/>
  <c r="O6" i="3" s="1"/>
  <c r="C143" i="3"/>
  <c r="C142" i="3"/>
  <c r="C141" i="3"/>
  <c r="C140" i="3"/>
  <c r="C139" i="3"/>
  <c r="C138" i="3"/>
  <c r="I7" i="3" s="1"/>
  <c r="C137" i="3"/>
  <c r="C136" i="3"/>
  <c r="K7" i="3" s="1"/>
  <c r="C135" i="3"/>
  <c r="L7" i="3" s="1"/>
  <c r="B134" i="3"/>
  <c r="C134" i="3" s="1"/>
  <c r="M7" i="3" s="1"/>
  <c r="B133" i="3"/>
  <c r="B132" i="3"/>
  <c r="C131" i="3" s="1"/>
  <c r="P7" i="3" s="1"/>
  <c r="B130" i="3"/>
  <c r="C130" i="3" s="1"/>
  <c r="Q7" i="3" s="1"/>
  <c r="B129" i="3"/>
  <c r="B128" i="3"/>
  <c r="C127" i="3" s="1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F12" i="3" s="1"/>
  <c r="C80" i="3"/>
  <c r="C79" i="3"/>
  <c r="H12" i="3" s="1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F14" i="3" s="1"/>
  <c r="R14" i="3" s="1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R16" i="3"/>
  <c r="C34" i="3"/>
  <c r="Q15" i="3" s="1"/>
  <c r="R15" i="3" s="1"/>
  <c r="C33" i="3"/>
  <c r="C32" i="3"/>
  <c r="R13" i="3"/>
  <c r="C31" i="3"/>
  <c r="G12" i="3"/>
  <c r="C30" i="3"/>
  <c r="R11" i="3"/>
  <c r="C29" i="3"/>
  <c r="R10" i="3"/>
  <c r="C28" i="3"/>
  <c r="R9" i="3"/>
  <c r="C27" i="3"/>
  <c r="R8" i="3"/>
  <c r="C26" i="3"/>
  <c r="C25" i="3"/>
  <c r="C24" i="3"/>
  <c r="C23" i="3"/>
  <c r="C22" i="3"/>
  <c r="C21" i="3"/>
  <c r="C20" i="3"/>
  <c r="G670" i="2"/>
  <c r="E670" i="2"/>
  <c r="D670" i="2"/>
  <c r="C670" i="2"/>
  <c r="G669" i="2"/>
  <c r="E669" i="2"/>
  <c r="D669" i="2"/>
  <c r="C669" i="2"/>
  <c r="G668" i="2"/>
  <c r="E668" i="2"/>
  <c r="D668" i="2"/>
  <c r="C668" i="2"/>
  <c r="G667" i="2"/>
  <c r="E667" i="2"/>
  <c r="D667" i="2"/>
  <c r="C667" i="2"/>
  <c r="G666" i="2"/>
  <c r="E666" i="2"/>
  <c r="D666" i="2"/>
  <c r="C666" i="2"/>
  <c r="G665" i="2"/>
  <c r="E665" i="2"/>
  <c r="D665" i="2"/>
  <c r="C665" i="2"/>
  <c r="G664" i="2"/>
  <c r="E664" i="2"/>
  <c r="D664" i="2"/>
  <c r="C664" i="2"/>
  <c r="G663" i="2"/>
  <c r="E663" i="2"/>
  <c r="D663" i="2"/>
  <c r="C663" i="2"/>
  <c r="G662" i="2"/>
  <c r="E662" i="2"/>
  <c r="D662" i="2"/>
  <c r="C662" i="2"/>
  <c r="G661" i="2"/>
  <c r="E661" i="2"/>
  <c r="D661" i="2"/>
  <c r="C661" i="2"/>
  <c r="G660" i="2"/>
  <c r="E660" i="2"/>
  <c r="D660" i="2"/>
  <c r="C660" i="2"/>
  <c r="G659" i="2"/>
  <c r="E659" i="2"/>
  <c r="D659" i="2"/>
  <c r="C659" i="2"/>
  <c r="G658" i="2"/>
  <c r="E658" i="2"/>
  <c r="D658" i="2"/>
  <c r="C658" i="2"/>
  <c r="G657" i="2"/>
  <c r="E657" i="2"/>
  <c r="D657" i="2"/>
  <c r="C657" i="2"/>
  <c r="G656" i="2"/>
  <c r="E656" i="2"/>
  <c r="D656" i="2"/>
  <c r="C656" i="2"/>
  <c r="G655" i="2"/>
  <c r="E655" i="2"/>
  <c r="D655" i="2"/>
  <c r="C655" i="2"/>
  <c r="G654" i="2"/>
  <c r="E654" i="2"/>
  <c r="D654" i="2"/>
  <c r="C654" i="2"/>
  <c r="G653" i="2"/>
  <c r="E653" i="2"/>
  <c r="D653" i="2"/>
  <c r="C653" i="2"/>
  <c r="G652" i="2"/>
  <c r="E652" i="2"/>
  <c r="D652" i="2"/>
  <c r="C652" i="2"/>
  <c r="G651" i="2"/>
  <c r="E651" i="2"/>
  <c r="D651" i="2"/>
  <c r="C651" i="2"/>
  <c r="G650" i="2"/>
  <c r="E650" i="2"/>
  <c r="D650" i="2"/>
  <c r="C650" i="2"/>
  <c r="G649" i="2"/>
  <c r="E649" i="2"/>
  <c r="D649" i="2"/>
  <c r="C649" i="2"/>
  <c r="G648" i="2"/>
  <c r="E648" i="2"/>
  <c r="D648" i="2"/>
  <c r="C648" i="2"/>
  <c r="G647" i="2"/>
  <c r="E647" i="2"/>
  <c r="D647" i="2"/>
  <c r="C647" i="2"/>
  <c r="G646" i="2"/>
  <c r="E646" i="2"/>
  <c r="D646" i="2"/>
  <c r="C646" i="2"/>
  <c r="G645" i="2"/>
  <c r="E645" i="2"/>
  <c r="D645" i="2"/>
  <c r="C645" i="2"/>
  <c r="G644" i="2"/>
  <c r="E644" i="2"/>
  <c r="D644" i="2"/>
  <c r="C644" i="2"/>
  <c r="G643" i="2"/>
  <c r="E643" i="2"/>
  <c r="D643" i="2"/>
  <c r="C643" i="2"/>
  <c r="G642" i="2"/>
  <c r="E642" i="2"/>
  <c r="D642" i="2"/>
  <c r="C642" i="2"/>
  <c r="G641" i="2"/>
  <c r="E641" i="2"/>
  <c r="D641" i="2"/>
  <c r="C641" i="2"/>
  <c r="G640" i="2"/>
  <c r="E640" i="2"/>
  <c r="D640" i="2"/>
  <c r="C640" i="2"/>
  <c r="G639" i="2"/>
  <c r="E639" i="2"/>
  <c r="D639" i="2"/>
  <c r="C639" i="2"/>
  <c r="G638" i="2"/>
  <c r="E638" i="2"/>
  <c r="D638" i="2"/>
  <c r="C638" i="2"/>
  <c r="G637" i="2"/>
  <c r="E637" i="2"/>
  <c r="D637" i="2"/>
  <c r="C637" i="2"/>
  <c r="G636" i="2"/>
  <c r="E636" i="2"/>
  <c r="D636" i="2"/>
  <c r="C636" i="2"/>
  <c r="G635" i="2"/>
  <c r="E635" i="2"/>
  <c r="D635" i="2"/>
  <c r="C635" i="2"/>
  <c r="G634" i="2"/>
  <c r="E634" i="2"/>
  <c r="D634" i="2"/>
  <c r="C634" i="2"/>
  <c r="G633" i="2"/>
  <c r="E633" i="2"/>
  <c r="D633" i="2"/>
  <c r="C633" i="2"/>
  <c r="G632" i="2"/>
  <c r="E632" i="2"/>
  <c r="D632" i="2"/>
  <c r="C632" i="2"/>
  <c r="G631" i="2"/>
  <c r="E631" i="2"/>
  <c r="D631" i="2"/>
  <c r="C631" i="2"/>
  <c r="G630" i="2"/>
  <c r="E630" i="2"/>
  <c r="D630" i="2"/>
  <c r="C630" i="2"/>
  <c r="G629" i="2"/>
  <c r="E629" i="2"/>
  <c r="D629" i="2"/>
  <c r="C629" i="2"/>
  <c r="G628" i="2"/>
  <c r="E628" i="2"/>
  <c r="D628" i="2"/>
  <c r="C628" i="2"/>
  <c r="G627" i="2"/>
  <c r="E627" i="2"/>
  <c r="D627" i="2"/>
  <c r="C627" i="2"/>
  <c r="G626" i="2"/>
  <c r="E626" i="2"/>
  <c r="D626" i="2"/>
  <c r="C626" i="2"/>
  <c r="G625" i="2"/>
  <c r="E625" i="2"/>
  <c r="D625" i="2"/>
  <c r="C625" i="2"/>
  <c r="G624" i="2"/>
  <c r="E624" i="2"/>
  <c r="D624" i="2"/>
  <c r="C624" i="2"/>
  <c r="G623" i="2"/>
  <c r="E623" i="2"/>
  <c r="D623" i="2"/>
  <c r="C623" i="2"/>
  <c r="G622" i="2"/>
  <c r="E622" i="2"/>
  <c r="D622" i="2"/>
  <c r="C622" i="2"/>
  <c r="G621" i="2"/>
  <c r="E621" i="2"/>
  <c r="D621" i="2"/>
  <c r="C621" i="2"/>
  <c r="G620" i="2"/>
  <c r="E620" i="2"/>
  <c r="D620" i="2"/>
  <c r="C620" i="2"/>
  <c r="G619" i="2"/>
  <c r="E619" i="2"/>
  <c r="D619" i="2"/>
  <c r="C619" i="2"/>
  <c r="G618" i="2"/>
  <c r="E618" i="2"/>
  <c r="D618" i="2"/>
  <c r="C618" i="2"/>
  <c r="G617" i="2"/>
  <c r="E617" i="2"/>
  <c r="D617" i="2"/>
  <c r="C617" i="2"/>
  <c r="G616" i="2"/>
  <c r="E616" i="2"/>
  <c r="D616" i="2"/>
  <c r="C616" i="2"/>
  <c r="G615" i="2"/>
  <c r="E615" i="2"/>
  <c r="D615" i="2"/>
  <c r="C615" i="2"/>
  <c r="G614" i="2"/>
  <c r="E614" i="2"/>
  <c r="D614" i="2"/>
  <c r="C614" i="2"/>
  <c r="G613" i="2"/>
  <c r="E613" i="2"/>
  <c r="D613" i="2"/>
  <c r="C613" i="2"/>
  <c r="G612" i="2"/>
  <c r="E612" i="2"/>
  <c r="D612" i="2"/>
  <c r="C612" i="2"/>
  <c r="G611" i="2"/>
  <c r="E611" i="2"/>
  <c r="D611" i="2"/>
  <c r="C611" i="2"/>
  <c r="G610" i="2"/>
  <c r="E610" i="2"/>
  <c r="D610" i="2"/>
  <c r="C610" i="2"/>
  <c r="G609" i="2"/>
  <c r="E609" i="2"/>
  <c r="D609" i="2"/>
  <c r="C609" i="2"/>
  <c r="G608" i="2"/>
  <c r="E608" i="2"/>
  <c r="D608" i="2"/>
  <c r="C608" i="2"/>
  <c r="G607" i="2"/>
  <c r="E607" i="2"/>
  <c r="D607" i="2"/>
  <c r="C607" i="2"/>
  <c r="G606" i="2"/>
  <c r="E606" i="2"/>
  <c r="D606" i="2"/>
  <c r="C606" i="2"/>
  <c r="G605" i="2"/>
  <c r="E605" i="2"/>
  <c r="D605" i="2"/>
  <c r="C605" i="2"/>
  <c r="G604" i="2"/>
  <c r="E604" i="2"/>
  <c r="D604" i="2"/>
  <c r="C604" i="2"/>
  <c r="G603" i="2"/>
  <c r="E603" i="2"/>
  <c r="D603" i="2"/>
  <c r="C603" i="2"/>
  <c r="G602" i="2"/>
  <c r="E602" i="2"/>
  <c r="D602" i="2"/>
  <c r="C602" i="2"/>
  <c r="G601" i="2"/>
  <c r="E601" i="2"/>
  <c r="D601" i="2"/>
  <c r="C601" i="2"/>
  <c r="G600" i="2"/>
  <c r="E600" i="2"/>
  <c r="D600" i="2"/>
  <c r="C600" i="2"/>
  <c r="G599" i="2"/>
  <c r="E599" i="2"/>
  <c r="D599" i="2"/>
  <c r="C599" i="2"/>
  <c r="G598" i="2"/>
  <c r="E598" i="2"/>
  <c r="D598" i="2"/>
  <c r="C598" i="2"/>
  <c r="G597" i="2"/>
  <c r="E597" i="2"/>
  <c r="D597" i="2"/>
  <c r="C597" i="2"/>
  <c r="G596" i="2"/>
  <c r="E596" i="2"/>
  <c r="D596" i="2"/>
  <c r="C596" i="2"/>
  <c r="G595" i="2"/>
  <c r="E595" i="2"/>
  <c r="D595" i="2"/>
  <c r="C595" i="2"/>
  <c r="G594" i="2"/>
  <c r="E594" i="2"/>
  <c r="D594" i="2"/>
  <c r="C594" i="2"/>
  <c r="G593" i="2"/>
  <c r="E593" i="2"/>
  <c r="D593" i="2"/>
  <c r="C593" i="2"/>
  <c r="G592" i="2"/>
  <c r="E592" i="2"/>
  <c r="D592" i="2"/>
  <c r="C592" i="2"/>
  <c r="G591" i="2"/>
  <c r="E591" i="2"/>
  <c r="D591" i="2"/>
  <c r="C591" i="2"/>
  <c r="G590" i="2"/>
  <c r="E590" i="2"/>
  <c r="D590" i="2"/>
  <c r="C590" i="2"/>
  <c r="G589" i="2"/>
  <c r="E589" i="2"/>
  <c r="D589" i="2"/>
  <c r="C589" i="2"/>
  <c r="G588" i="2"/>
  <c r="E588" i="2"/>
  <c r="D588" i="2"/>
  <c r="C588" i="2"/>
  <c r="G587" i="2"/>
  <c r="E587" i="2"/>
  <c r="D587" i="2"/>
  <c r="C587" i="2"/>
  <c r="G586" i="2"/>
  <c r="E586" i="2"/>
  <c r="D586" i="2"/>
  <c r="C586" i="2"/>
  <c r="G585" i="2"/>
  <c r="E585" i="2"/>
  <c r="D585" i="2"/>
  <c r="C585" i="2"/>
  <c r="G584" i="2"/>
  <c r="E584" i="2"/>
  <c r="D584" i="2"/>
  <c r="C584" i="2"/>
  <c r="G583" i="2"/>
  <c r="E583" i="2"/>
  <c r="D583" i="2"/>
  <c r="C583" i="2"/>
  <c r="G582" i="2"/>
  <c r="E582" i="2"/>
  <c r="D582" i="2"/>
  <c r="C582" i="2"/>
  <c r="G581" i="2"/>
  <c r="E581" i="2"/>
  <c r="D581" i="2"/>
  <c r="C581" i="2"/>
  <c r="G580" i="2"/>
  <c r="E580" i="2"/>
  <c r="D580" i="2"/>
  <c r="C580" i="2"/>
  <c r="G579" i="2"/>
  <c r="E579" i="2"/>
  <c r="D579" i="2"/>
  <c r="C579" i="2"/>
  <c r="G578" i="2"/>
  <c r="E578" i="2"/>
  <c r="D578" i="2"/>
  <c r="C578" i="2"/>
  <c r="G577" i="2"/>
  <c r="E577" i="2"/>
  <c r="D577" i="2"/>
  <c r="C577" i="2"/>
  <c r="G576" i="2"/>
  <c r="E576" i="2"/>
  <c r="D576" i="2"/>
  <c r="C576" i="2"/>
  <c r="G575" i="2"/>
  <c r="E575" i="2"/>
  <c r="D575" i="2"/>
  <c r="C575" i="2"/>
  <c r="G574" i="2"/>
  <c r="E574" i="2"/>
  <c r="D574" i="2"/>
  <c r="C574" i="2"/>
  <c r="G573" i="2"/>
  <c r="E573" i="2"/>
  <c r="D573" i="2"/>
  <c r="C573" i="2"/>
  <c r="G572" i="2"/>
  <c r="E572" i="2"/>
  <c r="D572" i="2"/>
  <c r="C572" i="2"/>
  <c r="G571" i="2"/>
  <c r="E571" i="2"/>
  <c r="D571" i="2"/>
  <c r="C571" i="2"/>
  <c r="G570" i="2"/>
  <c r="E570" i="2"/>
  <c r="D570" i="2"/>
  <c r="C570" i="2"/>
  <c r="G569" i="2"/>
  <c r="E569" i="2"/>
  <c r="D569" i="2"/>
  <c r="C569" i="2"/>
  <c r="G568" i="2"/>
  <c r="E568" i="2"/>
  <c r="D568" i="2"/>
  <c r="C568" i="2"/>
  <c r="G567" i="2"/>
  <c r="E567" i="2"/>
  <c r="D567" i="2"/>
  <c r="C567" i="2"/>
  <c r="G566" i="2"/>
  <c r="E566" i="2"/>
  <c r="D566" i="2"/>
  <c r="C566" i="2"/>
  <c r="G565" i="2"/>
  <c r="E565" i="2"/>
  <c r="D565" i="2"/>
  <c r="C565" i="2"/>
  <c r="G564" i="2"/>
  <c r="E564" i="2"/>
  <c r="D564" i="2"/>
  <c r="C564" i="2"/>
  <c r="G563" i="2"/>
  <c r="E563" i="2"/>
  <c r="D563" i="2"/>
  <c r="C563" i="2"/>
  <c r="G562" i="2"/>
  <c r="E562" i="2"/>
  <c r="D562" i="2"/>
  <c r="C562" i="2"/>
  <c r="G561" i="2"/>
  <c r="E561" i="2"/>
  <c r="D561" i="2"/>
  <c r="C561" i="2"/>
  <c r="G560" i="2"/>
  <c r="E560" i="2"/>
  <c r="D560" i="2"/>
  <c r="C560" i="2"/>
  <c r="G559" i="2"/>
  <c r="E559" i="2"/>
  <c r="D559" i="2"/>
  <c r="C559" i="2"/>
  <c r="G558" i="2"/>
  <c r="E558" i="2"/>
  <c r="D558" i="2"/>
  <c r="C558" i="2"/>
  <c r="G557" i="2"/>
  <c r="E557" i="2"/>
  <c r="D557" i="2"/>
  <c r="C557" i="2"/>
  <c r="G556" i="2"/>
  <c r="E556" i="2"/>
  <c r="D556" i="2"/>
  <c r="C556" i="2"/>
  <c r="G555" i="2"/>
  <c r="E555" i="2"/>
  <c r="D555" i="2"/>
  <c r="C555" i="2"/>
  <c r="G554" i="2"/>
  <c r="E554" i="2"/>
  <c r="D554" i="2"/>
  <c r="C554" i="2"/>
  <c r="G553" i="2"/>
  <c r="E553" i="2"/>
  <c r="D553" i="2"/>
  <c r="C553" i="2"/>
  <c r="G552" i="2"/>
  <c r="E552" i="2"/>
  <c r="D552" i="2"/>
  <c r="C552" i="2"/>
  <c r="G551" i="2"/>
  <c r="E551" i="2"/>
  <c r="D551" i="2"/>
  <c r="C551" i="2"/>
  <c r="G550" i="2"/>
  <c r="E550" i="2"/>
  <c r="D550" i="2"/>
  <c r="C550" i="2"/>
  <c r="G549" i="2"/>
  <c r="E549" i="2"/>
  <c r="D549" i="2"/>
  <c r="C549" i="2"/>
  <c r="G548" i="2"/>
  <c r="E548" i="2"/>
  <c r="D548" i="2"/>
  <c r="C548" i="2"/>
  <c r="G547" i="2"/>
  <c r="E547" i="2"/>
  <c r="D547" i="2"/>
  <c r="C547" i="2"/>
  <c r="G546" i="2"/>
  <c r="E546" i="2"/>
  <c r="D546" i="2"/>
  <c r="C546" i="2"/>
  <c r="G545" i="2"/>
  <c r="E545" i="2"/>
  <c r="D545" i="2"/>
  <c r="C545" i="2"/>
  <c r="G544" i="2"/>
  <c r="E544" i="2"/>
  <c r="D544" i="2"/>
  <c r="C544" i="2"/>
  <c r="G543" i="2"/>
  <c r="E543" i="2"/>
  <c r="D543" i="2"/>
  <c r="C543" i="2"/>
  <c r="G542" i="2"/>
  <c r="E542" i="2"/>
  <c r="D542" i="2"/>
  <c r="C542" i="2"/>
  <c r="G541" i="2"/>
  <c r="E541" i="2"/>
  <c r="D541" i="2"/>
  <c r="C541" i="2"/>
  <c r="G540" i="2"/>
  <c r="E540" i="2"/>
  <c r="D540" i="2"/>
  <c r="C540" i="2"/>
  <c r="G539" i="2"/>
  <c r="E539" i="2"/>
  <c r="D539" i="2"/>
  <c r="C539" i="2"/>
  <c r="G538" i="2"/>
  <c r="E538" i="2"/>
  <c r="D538" i="2"/>
  <c r="C538" i="2"/>
  <c r="G537" i="2"/>
  <c r="E537" i="2"/>
  <c r="D537" i="2"/>
  <c r="C537" i="2"/>
  <c r="G536" i="2"/>
  <c r="E536" i="2"/>
  <c r="D536" i="2"/>
  <c r="C536" i="2"/>
  <c r="G535" i="2"/>
  <c r="E535" i="2"/>
  <c r="D535" i="2"/>
  <c r="C535" i="2"/>
  <c r="G534" i="2"/>
  <c r="E534" i="2"/>
  <c r="D534" i="2"/>
  <c r="C534" i="2"/>
  <c r="G533" i="2"/>
  <c r="E533" i="2"/>
  <c r="D533" i="2"/>
  <c r="C533" i="2"/>
  <c r="G532" i="2"/>
  <c r="E532" i="2"/>
  <c r="D532" i="2"/>
  <c r="C532" i="2"/>
  <c r="G531" i="2"/>
  <c r="E531" i="2"/>
  <c r="D531" i="2"/>
  <c r="C531" i="2"/>
  <c r="G530" i="2"/>
  <c r="E530" i="2"/>
  <c r="D530" i="2"/>
  <c r="C530" i="2"/>
  <c r="G529" i="2"/>
  <c r="E529" i="2"/>
  <c r="D529" i="2"/>
  <c r="C529" i="2"/>
  <c r="G528" i="2"/>
  <c r="E528" i="2"/>
  <c r="D528" i="2"/>
  <c r="C528" i="2"/>
  <c r="G527" i="2"/>
  <c r="E527" i="2"/>
  <c r="D527" i="2"/>
  <c r="C527" i="2"/>
  <c r="G526" i="2"/>
  <c r="E526" i="2"/>
  <c r="D526" i="2"/>
  <c r="C526" i="2"/>
  <c r="G525" i="2"/>
  <c r="E525" i="2"/>
  <c r="D525" i="2"/>
  <c r="C525" i="2"/>
  <c r="G524" i="2"/>
  <c r="E524" i="2"/>
  <c r="D524" i="2"/>
  <c r="C524" i="2"/>
  <c r="G523" i="2"/>
  <c r="E523" i="2"/>
  <c r="D523" i="2"/>
  <c r="C523" i="2"/>
  <c r="G522" i="2"/>
  <c r="E522" i="2"/>
  <c r="D522" i="2"/>
  <c r="C522" i="2"/>
  <c r="G521" i="2"/>
  <c r="E521" i="2"/>
  <c r="D521" i="2"/>
  <c r="C521" i="2"/>
  <c r="G520" i="2"/>
  <c r="E520" i="2"/>
  <c r="D520" i="2"/>
  <c r="C520" i="2"/>
  <c r="G519" i="2"/>
  <c r="E519" i="2"/>
  <c r="D519" i="2"/>
  <c r="C519" i="2"/>
  <c r="G518" i="2"/>
  <c r="E518" i="2"/>
  <c r="D518" i="2"/>
  <c r="C518" i="2"/>
  <c r="G517" i="2"/>
  <c r="E517" i="2"/>
  <c r="D517" i="2"/>
  <c r="C517" i="2"/>
  <c r="G516" i="2"/>
  <c r="E516" i="2"/>
  <c r="D516" i="2"/>
  <c r="C516" i="2"/>
  <c r="G515" i="2"/>
  <c r="E515" i="2"/>
  <c r="D515" i="2"/>
  <c r="C515" i="2"/>
  <c r="G514" i="2"/>
  <c r="E514" i="2"/>
  <c r="D514" i="2"/>
  <c r="C514" i="2"/>
  <c r="G513" i="2"/>
  <c r="E513" i="2"/>
  <c r="D513" i="2"/>
  <c r="C513" i="2"/>
  <c r="G512" i="2"/>
  <c r="E512" i="2"/>
  <c r="D512" i="2"/>
  <c r="C512" i="2"/>
  <c r="G511" i="2"/>
  <c r="E511" i="2"/>
  <c r="D511" i="2"/>
  <c r="C511" i="2"/>
  <c r="G510" i="2"/>
  <c r="E510" i="2"/>
  <c r="D510" i="2"/>
  <c r="C510" i="2"/>
  <c r="G509" i="2"/>
  <c r="E509" i="2"/>
  <c r="D509" i="2"/>
  <c r="C509" i="2"/>
  <c r="G508" i="2"/>
  <c r="E508" i="2"/>
  <c r="D508" i="2"/>
  <c r="C508" i="2"/>
  <c r="G507" i="2"/>
  <c r="E507" i="2"/>
  <c r="D507" i="2"/>
  <c r="C507" i="2"/>
  <c r="G506" i="2"/>
  <c r="E506" i="2"/>
  <c r="D506" i="2"/>
  <c r="C506" i="2"/>
  <c r="G505" i="2"/>
  <c r="E505" i="2"/>
  <c r="D505" i="2"/>
  <c r="C505" i="2"/>
  <c r="G504" i="2"/>
  <c r="E504" i="2"/>
  <c r="D504" i="2"/>
  <c r="C504" i="2"/>
  <c r="G503" i="2"/>
  <c r="E503" i="2"/>
  <c r="D503" i="2"/>
  <c r="C503" i="2"/>
  <c r="G502" i="2"/>
  <c r="E502" i="2"/>
  <c r="D502" i="2"/>
  <c r="C502" i="2"/>
  <c r="G501" i="2"/>
  <c r="E501" i="2"/>
  <c r="D501" i="2"/>
  <c r="C501" i="2"/>
  <c r="G500" i="2"/>
  <c r="E500" i="2"/>
  <c r="D500" i="2"/>
  <c r="C500" i="2"/>
  <c r="G499" i="2"/>
  <c r="E499" i="2"/>
  <c r="D499" i="2"/>
  <c r="C499" i="2"/>
  <c r="G498" i="2"/>
  <c r="E498" i="2"/>
  <c r="D498" i="2"/>
  <c r="C498" i="2"/>
  <c r="G497" i="2"/>
  <c r="E497" i="2"/>
  <c r="D497" i="2"/>
  <c r="C497" i="2"/>
  <c r="G496" i="2"/>
  <c r="E496" i="2"/>
  <c r="D496" i="2"/>
  <c r="C496" i="2"/>
  <c r="G495" i="2"/>
  <c r="E495" i="2"/>
  <c r="D495" i="2"/>
  <c r="C495" i="2"/>
  <c r="G494" i="2"/>
  <c r="E494" i="2"/>
  <c r="D494" i="2"/>
  <c r="C494" i="2"/>
  <c r="G493" i="2"/>
  <c r="E493" i="2"/>
  <c r="D493" i="2"/>
  <c r="C493" i="2"/>
  <c r="G492" i="2"/>
  <c r="E492" i="2"/>
  <c r="D492" i="2"/>
  <c r="C492" i="2"/>
  <c r="G491" i="2"/>
  <c r="E491" i="2"/>
  <c r="D491" i="2"/>
  <c r="C491" i="2"/>
  <c r="G490" i="2"/>
  <c r="E490" i="2"/>
  <c r="D490" i="2"/>
  <c r="C490" i="2"/>
  <c r="G489" i="2"/>
  <c r="E489" i="2"/>
  <c r="D489" i="2"/>
  <c r="C489" i="2"/>
  <c r="G488" i="2"/>
  <c r="E488" i="2"/>
  <c r="D488" i="2"/>
  <c r="C488" i="2"/>
  <c r="G487" i="2"/>
  <c r="E487" i="2"/>
  <c r="D487" i="2"/>
  <c r="C487" i="2"/>
  <c r="G486" i="2"/>
  <c r="E486" i="2"/>
  <c r="D486" i="2"/>
  <c r="C486" i="2"/>
  <c r="G485" i="2"/>
  <c r="E485" i="2"/>
  <c r="D485" i="2"/>
  <c r="C485" i="2"/>
  <c r="G484" i="2"/>
  <c r="E484" i="2"/>
  <c r="D484" i="2"/>
  <c r="C484" i="2"/>
  <c r="G483" i="2"/>
  <c r="E483" i="2"/>
  <c r="D483" i="2"/>
  <c r="C483" i="2"/>
  <c r="G482" i="2"/>
  <c r="E482" i="2"/>
  <c r="D482" i="2"/>
  <c r="C482" i="2"/>
  <c r="G481" i="2"/>
  <c r="E481" i="2"/>
  <c r="D481" i="2"/>
  <c r="C481" i="2"/>
  <c r="G480" i="2"/>
  <c r="E480" i="2"/>
  <c r="D480" i="2"/>
  <c r="C480" i="2"/>
  <c r="G479" i="2"/>
  <c r="E479" i="2"/>
  <c r="D479" i="2"/>
  <c r="C479" i="2"/>
  <c r="G478" i="2"/>
  <c r="E478" i="2"/>
  <c r="D478" i="2"/>
  <c r="C478" i="2"/>
  <c r="G477" i="2"/>
  <c r="E477" i="2"/>
  <c r="D477" i="2"/>
  <c r="C477" i="2"/>
  <c r="G476" i="2"/>
  <c r="E476" i="2"/>
  <c r="D476" i="2"/>
  <c r="C476" i="2"/>
  <c r="G475" i="2"/>
  <c r="E475" i="2"/>
  <c r="D475" i="2"/>
  <c r="C475" i="2"/>
  <c r="G474" i="2"/>
  <c r="E474" i="2"/>
  <c r="D474" i="2"/>
  <c r="C474" i="2"/>
  <c r="G473" i="2"/>
  <c r="E473" i="2"/>
  <c r="D473" i="2"/>
  <c r="C473" i="2"/>
  <c r="G472" i="2"/>
  <c r="E472" i="2"/>
  <c r="D472" i="2"/>
  <c r="C472" i="2"/>
  <c r="G471" i="2"/>
  <c r="E471" i="2"/>
  <c r="D471" i="2"/>
  <c r="C471" i="2"/>
  <c r="G470" i="2"/>
  <c r="E470" i="2"/>
  <c r="D470" i="2"/>
  <c r="C470" i="2"/>
  <c r="G469" i="2"/>
  <c r="E469" i="2"/>
  <c r="D469" i="2"/>
  <c r="C469" i="2"/>
  <c r="G468" i="2"/>
  <c r="E468" i="2"/>
  <c r="D468" i="2"/>
  <c r="C468" i="2"/>
  <c r="G467" i="2"/>
  <c r="E467" i="2"/>
  <c r="D467" i="2"/>
  <c r="C467" i="2"/>
  <c r="G466" i="2"/>
  <c r="E466" i="2"/>
  <c r="D466" i="2"/>
  <c r="C466" i="2"/>
  <c r="G465" i="2"/>
  <c r="E465" i="2"/>
  <c r="D465" i="2"/>
  <c r="C465" i="2"/>
  <c r="G464" i="2"/>
  <c r="E464" i="2"/>
  <c r="D464" i="2"/>
  <c r="C464" i="2"/>
  <c r="G463" i="2"/>
  <c r="E463" i="2"/>
  <c r="D463" i="2"/>
  <c r="C463" i="2"/>
  <c r="G462" i="2"/>
  <c r="E462" i="2"/>
  <c r="D462" i="2"/>
  <c r="C462" i="2"/>
  <c r="G461" i="2"/>
  <c r="E461" i="2"/>
  <c r="D461" i="2"/>
  <c r="C461" i="2"/>
  <c r="G460" i="2"/>
  <c r="E460" i="2"/>
  <c r="D460" i="2"/>
  <c r="C460" i="2"/>
  <c r="G459" i="2"/>
  <c r="E459" i="2"/>
  <c r="D459" i="2"/>
  <c r="C459" i="2"/>
  <c r="G458" i="2"/>
  <c r="E458" i="2"/>
  <c r="D458" i="2"/>
  <c r="C458" i="2"/>
  <c r="G457" i="2"/>
  <c r="E457" i="2"/>
  <c r="D457" i="2"/>
  <c r="C457" i="2"/>
  <c r="G456" i="2"/>
  <c r="E456" i="2"/>
  <c r="D456" i="2"/>
  <c r="C456" i="2"/>
  <c r="G455" i="2"/>
  <c r="E455" i="2"/>
  <c r="D455" i="2"/>
  <c r="C455" i="2"/>
  <c r="G454" i="2"/>
  <c r="E454" i="2"/>
  <c r="D454" i="2"/>
  <c r="C454" i="2"/>
  <c r="G453" i="2"/>
  <c r="E453" i="2"/>
  <c r="D453" i="2"/>
  <c r="C453" i="2"/>
  <c r="G452" i="2"/>
  <c r="E452" i="2"/>
  <c r="D452" i="2"/>
  <c r="C452" i="2"/>
  <c r="G451" i="2"/>
  <c r="E451" i="2"/>
  <c r="D451" i="2"/>
  <c r="C451" i="2"/>
  <c r="G450" i="2"/>
  <c r="E450" i="2"/>
  <c r="D450" i="2"/>
  <c r="C450" i="2"/>
  <c r="G449" i="2"/>
  <c r="E449" i="2"/>
  <c r="D449" i="2"/>
  <c r="C449" i="2"/>
  <c r="G448" i="2"/>
  <c r="E448" i="2"/>
  <c r="D448" i="2"/>
  <c r="C448" i="2"/>
  <c r="G447" i="2"/>
  <c r="E447" i="2"/>
  <c r="D447" i="2"/>
  <c r="C447" i="2"/>
  <c r="G446" i="2"/>
  <c r="E446" i="2"/>
  <c r="D446" i="2"/>
  <c r="C446" i="2"/>
  <c r="G445" i="2"/>
  <c r="E445" i="2"/>
  <c r="D445" i="2"/>
  <c r="C445" i="2"/>
  <c r="G444" i="2"/>
  <c r="E444" i="2"/>
  <c r="D444" i="2"/>
  <c r="C444" i="2"/>
  <c r="G443" i="2"/>
  <c r="E443" i="2"/>
  <c r="D443" i="2"/>
  <c r="C443" i="2"/>
  <c r="G442" i="2"/>
  <c r="E442" i="2"/>
  <c r="D442" i="2"/>
  <c r="C442" i="2"/>
  <c r="G441" i="2"/>
  <c r="E441" i="2"/>
  <c r="D441" i="2"/>
  <c r="C441" i="2"/>
  <c r="G440" i="2"/>
  <c r="E440" i="2"/>
  <c r="D440" i="2"/>
  <c r="C440" i="2"/>
  <c r="G439" i="2"/>
  <c r="E439" i="2"/>
  <c r="D439" i="2"/>
  <c r="C439" i="2"/>
  <c r="G438" i="2"/>
  <c r="E438" i="2"/>
  <c r="D438" i="2"/>
  <c r="C438" i="2"/>
  <c r="G437" i="2"/>
  <c r="E437" i="2"/>
  <c r="D437" i="2"/>
  <c r="C437" i="2"/>
  <c r="G436" i="2"/>
  <c r="E436" i="2"/>
  <c r="D436" i="2"/>
  <c r="C436" i="2"/>
  <c r="G435" i="2"/>
  <c r="E435" i="2"/>
  <c r="D435" i="2"/>
  <c r="C435" i="2"/>
  <c r="G434" i="2"/>
  <c r="E434" i="2"/>
  <c r="D434" i="2"/>
  <c r="C434" i="2"/>
  <c r="G433" i="2"/>
  <c r="E433" i="2"/>
  <c r="D433" i="2"/>
  <c r="C433" i="2"/>
  <c r="G432" i="2"/>
  <c r="E432" i="2"/>
  <c r="D432" i="2"/>
  <c r="C432" i="2"/>
  <c r="G431" i="2"/>
  <c r="E431" i="2"/>
  <c r="D431" i="2"/>
  <c r="C431" i="2"/>
  <c r="G430" i="2"/>
  <c r="E430" i="2"/>
  <c r="D430" i="2"/>
  <c r="C430" i="2"/>
  <c r="G429" i="2"/>
  <c r="E429" i="2"/>
  <c r="D429" i="2"/>
  <c r="C429" i="2"/>
  <c r="G428" i="2"/>
  <c r="E428" i="2"/>
  <c r="D428" i="2"/>
  <c r="C428" i="2"/>
  <c r="G427" i="2"/>
  <c r="E427" i="2"/>
  <c r="D427" i="2"/>
  <c r="C427" i="2"/>
  <c r="G426" i="2"/>
  <c r="E426" i="2"/>
  <c r="D426" i="2"/>
  <c r="C426" i="2"/>
  <c r="G425" i="2"/>
  <c r="E425" i="2"/>
  <c r="D425" i="2"/>
  <c r="C425" i="2"/>
  <c r="G424" i="2"/>
  <c r="E424" i="2"/>
  <c r="D424" i="2"/>
  <c r="C424" i="2"/>
  <c r="G423" i="2"/>
  <c r="E423" i="2"/>
  <c r="D423" i="2"/>
  <c r="C423" i="2"/>
  <c r="G422" i="2"/>
  <c r="E422" i="2"/>
  <c r="D422" i="2"/>
  <c r="C422" i="2"/>
  <c r="G421" i="2"/>
  <c r="E421" i="2"/>
  <c r="D421" i="2"/>
  <c r="C421" i="2"/>
  <c r="G420" i="2"/>
  <c r="E420" i="2"/>
  <c r="D420" i="2"/>
  <c r="C420" i="2"/>
  <c r="G419" i="2"/>
  <c r="E419" i="2"/>
  <c r="D419" i="2"/>
  <c r="C419" i="2"/>
  <c r="G418" i="2"/>
  <c r="E418" i="2"/>
  <c r="D418" i="2"/>
  <c r="C418" i="2"/>
  <c r="G417" i="2"/>
  <c r="E417" i="2"/>
  <c r="D417" i="2"/>
  <c r="C417" i="2"/>
  <c r="G416" i="2"/>
  <c r="E416" i="2"/>
  <c r="D416" i="2"/>
  <c r="C416" i="2"/>
  <c r="E415" i="2"/>
  <c r="D415" i="2"/>
  <c r="C415" i="2"/>
  <c r="E414" i="2"/>
  <c r="D414" i="2"/>
  <c r="C414" i="2"/>
  <c r="E413" i="2"/>
  <c r="D413" i="2"/>
  <c r="C413" i="2"/>
  <c r="E412" i="2"/>
  <c r="D412" i="2"/>
  <c r="C412" i="2"/>
  <c r="E411" i="2"/>
  <c r="D411" i="2"/>
  <c r="C411" i="2"/>
  <c r="E410" i="2"/>
  <c r="D410" i="2"/>
  <c r="C410" i="2"/>
  <c r="E409" i="2"/>
  <c r="D409" i="2"/>
  <c r="C409" i="2"/>
  <c r="E408" i="2"/>
  <c r="D408" i="2"/>
  <c r="C408" i="2"/>
  <c r="E407" i="2"/>
  <c r="D407" i="2"/>
  <c r="C407" i="2"/>
  <c r="E406" i="2"/>
  <c r="D406" i="2"/>
  <c r="C406" i="2"/>
  <c r="E405" i="2"/>
  <c r="D405" i="2"/>
  <c r="C405" i="2"/>
  <c r="E404" i="2"/>
  <c r="D404" i="2"/>
  <c r="C404" i="2"/>
  <c r="E403" i="2"/>
  <c r="D403" i="2"/>
  <c r="C403" i="2"/>
  <c r="E402" i="2"/>
  <c r="D402" i="2"/>
  <c r="C402" i="2"/>
  <c r="E401" i="2"/>
  <c r="D401" i="2"/>
  <c r="C401" i="2"/>
  <c r="E400" i="2"/>
  <c r="D400" i="2"/>
  <c r="C400" i="2"/>
  <c r="E399" i="2"/>
  <c r="D399" i="2"/>
  <c r="C399" i="2"/>
  <c r="E398" i="2"/>
  <c r="D398" i="2"/>
  <c r="C398" i="2"/>
  <c r="E397" i="2"/>
  <c r="D397" i="2"/>
  <c r="C397" i="2"/>
  <c r="E396" i="2"/>
  <c r="D396" i="2"/>
  <c r="C396" i="2"/>
  <c r="E395" i="2"/>
  <c r="D395" i="2"/>
  <c r="C395" i="2"/>
  <c r="E394" i="2"/>
  <c r="D394" i="2"/>
  <c r="C394" i="2"/>
  <c r="E393" i="2"/>
  <c r="D393" i="2"/>
  <c r="C393" i="2"/>
  <c r="E392" i="2"/>
  <c r="D392" i="2"/>
  <c r="C392" i="2"/>
  <c r="E391" i="2"/>
  <c r="D391" i="2"/>
  <c r="C391" i="2"/>
  <c r="E390" i="2"/>
  <c r="D390" i="2"/>
  <c r="C390" i="2"/>
  <c r="E389" i="2"/>
  <c r="D389" i="2"/>
  <c r="C389" i="2"/>
  <c r="E388" i="2"/>
  <c r="D388" i="2"/>
  <c r="C388" i="2"/>
  <c r="E387" i="2"/>
  <c r="D387" i="2"/>
  <c r="C387" i="2"/>
  <c r="E386" i="2"/>
  <c r="D386" i="2"/>
  <c r="C386" i="2"/>
  <c r="E385" i="2"/>
  <c r="D385" i="2"/>
  <c r="C385" i="2"/>
  <c r="E384" i="2"/>
  <c r="D384" i="2"/>
  <c r="C384" i="2"/>
  <c r="E383" i="2"/>
  <c r="D383" i="2"/>
  <c r="C383" i="2"/>
  <c r="E382" i="2"/>
  <c r="D382" i="2"/>
  <c r="C382" i="2"/>
  <c r="E381" i="2"/>
  <c r="D381" i="2"/>
  <c r="C381" i="2"/>
  <c r="E380" i="2"/>
  <c r="D380" i="2"/>
  <c r="C380" i="2"/>
  <c r="E379" i="2"/>
  <c r="D379" i="2"/>
  <c r="C379" i="2"/>
  <c r="E378" i="2"/>
  <c r="D378" i="2"/>
  <c r="C378" i="2"/>
  <c r="E377" i="2"/>
  <c r="D377" i="2"/>
  <c r="C377" i="2"/>
  <c r="E376" i="2"/>
  <c r="D376" i="2"/>
  <c r="C376" i="2"/>
  <c r="E375" i="2"/>
  <c r="D375" i="2"/>
  <c r="C375" i="2"/>
  <c r="E374" i="2"/>
  <c r="D374" i="2"/>
  <c r="C374" i="2"/>
  <c r="E373" i="2"/>
  <c r="D373" i="2"/>
  <c r="C373" i="2"/>
  <c r="E372" i="2"/>
  <c r="D372" i="2"/>
  <c r="C372" i="2"/>
  <c r="E371" i="2"/>
  <c r="D371" i="2"/>
  <c r="C371" i="2"/>
  <c r="E370" i="2"/>
  <c r="D370" i="2"/>
  <c r="C370" i="2"/>
  <c r="E369" i="2"/>
  <c r="D369" i="2"/>
  <c r="C369" i="2"/>
  <c r="E368" i="2"/>
  <c r="D368" i="2"/>
  <c r="C368" i="2"/>
  <c r="E367" i="2"/>
  <c r="D367" i="2"/>
  <c r="C367" i="2"/>
  <c r="E366" i="2"/>
  <c r="D366" i="2"/>
  <c r="C366" i="2"/>
  <c r="E365" i="2"/>
  <c r="D365" i="2"/>
  <c r="C365" i="2"/>
  <c r="E364" i="2"/>
  <c r="D364" i="2"/>
  <c r="C364" i="2"/>
  <c r="E363" i="2"/>
  <c r="D363" i="2"/>
  <c r="C363" i="2"/>
  <c r="E362" i="2"/>
  <c r="D362" i="2"/>
  <c r="C362" i="2"/>
  <c r="E361" i="2"/>
  <c r="D361" i="2"/>
  <c r="C361" i="2"/>
  <c r="E360" i="2"/>
  <c r="D360" i="2"/>
  <c r="C360" i="2"/>
  <c r="E359" i="2"/>
  <c r="D359" i="2"/>
  <c r="C359" i="2"/>
  <c r="E358" i="2"/>
  <c r="D358" i="2"/>
  <c r="C358" i="2"/>
  <c r="E357" i="2"/>
  <c r="D357" i="2"/>
  <c r="C357" i="2"/>
  <c r="E356" i="2"/>
  <c r="D356" i="2"/>
  <c r="C356" i="2"/>
  <c r="E355" i="2"/>
  <c r="D355" i="2"/>
  <c r="C355" i="2"/>
  <c r="E354" i="2"/>
  <c r="D354" i="2"/>
  <c r="C354" i="2"/>
  <c r="E353" i="2"/>
  <c r="D353" i="2"/>
  <c r="C353" i="2"/>
  <c r="E352" i="2"/>
  <c r="D352" i="2"/>
  <c r="C352" i="2"/>
  <c r="E351" i="2"/>
  <c r="D351" i="2"/>
  <c r="C351" i="2"/>
  <c r="E350" i="2"/>
  <c r="D350" i="2"/>
  <c r="C350" i="2"/>
  <c r="E349" i="2"/>
  <c r="D349" i="2"/>
  <c r="C349" i="2"/>
  <c r="E348" i="2"/>
  <c r="D348" i="2"/>
  <c r="C348" i="2"/>
  <c r="E347" i="2"/>
  <c r="D347" i="2"/>
  <c r="C347" i="2"/>
  <c r="E346" i="2"/>
  <c r="D346" i="2"/>
  <c r="C346" i="2"/>
  <c r="E345" i="2"/>
  <c r="D345" i="2"/>
  <c r="C345" i="2"/>
  <c r="E344" i="2"/>
  <c r="D344" i="2"/>
  <c r="C344" i="2"/>
  <c r="E343" i="2"/>
  <c r="D343" i="2"/>
  <c r="C343" i="2"/>
  <c r="E342" i="2"/>
  <c r="D342" i="2"/>
  <c r="C342" i="2"/>
  <c r="E341" i="2"/>
  <c r="D341" i="2"/>
  <c r="C341" i="2"/>
  <c r="E340" i="2"/>
  <c r="D340" i="2"/>
  <c r="C340" i="2"/>
  <c r="E339" i="2"/>
  <c r="D339" i="2"/>
  <c r="C339" i="2"/>
  <c r="E338" i="2"/>
  <c r="D338" i="2"/>
  <c r="C338" i="2"/>
  <c r="E337" i="2"/>
  <c r="D337" i="2"/>
  <c r="C337" i="2"/>
  <c r="E336" i="2"/>
  <c r="D336" i="2"/>
  <c r="C336" i="2"/>
  <c r="E335" i="2"/>
  <c r="D335" i="2"/>
  <c r="C335" i="2"/>
  <c r="E334" i="2"/>
  <c r="D334" i="2"/>
  <c r="C334" i="2"/>
  <c r="E333" i="2"/>
  <c r="D333" i="2"/>
  <c r="C333" i="2"/>
  <c r="E332" i="2"/>
  <c r="D332" i="2"/>
  <c r="C332" i="2"/>
  <c r="E331" i="2"/>
  <c r="D331" i="2"/>
  <c r="C331" i="2"/>
  <c r="E330" i="2"/>
  <c r="D330" i="2"/>
  <c r="C330" i="2"/>
  <c r="E329" i="2"/>
  <c r="D329" i="2"/>
  <c r="C329" i="2"/>
  <c r="E328" i="2"/>
  <c r="D328" i="2"/>
  <c r="C328" i="2"/>
  <c r="E327" i="2"/>
  <c r="D327" i="2"/>
  <c r="C327" i="2"/>
  <c r="E326" i="2"/>
  <c r="D326" i="2"/>
  <c r="C326" i="2"/>
  <c r="E325" i="2"/>
  <c r="D325" i="2"/>
  <c r="C325" i="2"/>
  <c r="E324" i="2"/>
  <c r="D324" i="2"/>
  <c r="C324" i="2"/>
  <c r="E323" i="2"/>
  <c r="D323" i="2"/>
  <c r="C323" i="2"/>
  <c r="E322" i="2"/>
  <c r="D322" i="2"/>
  <c r="C322" i="2"/>
  <c r="E321" i="2"/>
  <c r="D321" i="2"/>
  <c r="C321" i="2"/>
  <c r="E320" i="2"/>
  <c r="D320" i="2"/>
  <c r="C320" i="2"/>
  <c r="E319" i="2"/>
  <c r="D319" i="2"/>
  <c r="C319" i="2"/>
  <c r="E318" i="2"/>
  <c r="D318" i="2"/>
  <c r="C318" i="2"/>
  <c r="E317" i="2"/>
  <c r="D317" i="2"/>
  <c r="C317" i="2"/>
  <c r="E316" i="2"/>
  <c r="D316" i="2"/>
  <c r="C316" i="2"/>
  <c r="E315" i="2"/>
  <c r="D315" i="2"/>
  <c r="C315" i="2"/>
  <c r="E314" i="2"/>
  <c r="D314" i="2"/>
  <c r="C314" i="2"/>
  <c r="E313" i="2"/>
  <c r="D313" i="2"/>
  <c r="C313" i="2"/>
  <c r="E312" i="2"/>
  <c r="D312" i="2"/>
  <c r="C312" i="2"/>
  <c r="E311" i="2"/>
  <c r="D311" i="2"/>
  <c r="C311" i="2"/>
  <c r="E310" i="2"/>
  <c r="D310" i="2"/>
  <c r="C310" i="2"/>
  <c r="E309" i="2"/>
  <c r="D309" i="2"/>
  <c r="C309" i="2"/>
  <c r="E308" i="2"/>
  <c r="D308" i="2"/>
  <c r="C308" i="2"/>
  <c r="E307" i="2"/>
  <c r="D307" i="2"/>
  <c r="C307" i="2"/>
  <c r="E306" i="2"/>
  <c r="D306" i="2"/>
  <c r="C306" i="2"/>
  <c r="E305" i="2"/>
  <c r="D305" i="2"/>
  <c r="C305" i="2"/>
  <c r="E304" i="2"/>
  <c r="D304" i="2"/>
  <c r="C304" i="2"/>
  <c r="E303" i="2"/>
  <c r="D303" i="2"/>
  <c r="C303" i="2"/>
  <c r="E302" i="2"/>
  <c r="D302" i="2"/>
  <c r="C302" i="2"/>
  <c r="E301" i="2"/>
  <c r="D301" i="2"/>
  <c r="C301" i="2"/>
  <c r="E300" i="2"/>
  <c r="D300" i="2"/>
  <c r="C300" i="2"/>
  <c r="E299" i="2"/>
  <c r="D299" i="2"/>
  <c r="C299" i="2"/>
  <c r="E298" i="2"/>
  <c r="D298" i="2"/>
  <c r="C298" i="2"/>
  <c r="E297" i="2"/>
  <c r="D297" i="2"/>
  <c r="C297" i="2"/>
  <c r="E296" i="2"/>
  <c r="D296" i="2"/>
  <c r="C296" i="2"/>
  <c r="E295" i="2"/>
  <c r="D295" i="2"/>
  <c r="C295" i="2"/>
  <c r="E294" i="2"/>
  <c r="D294" i="2"/>
  <c r="C294" i="2"/>
  <c r="E293" i="2"/>
  <c r="D293" i="2"/>
  <c r="C293" i="2"/>
  <c r="E292" i="2"/>
  <c r="D292" i="2"/>
  <c r="C292" i="2"/>
  <c r="E291" i="2"/>
  <c r="D291" i="2"/>
  <c r="C291" i="2"/>
  <c r="E290" i="2"/>
  <c r="D290" i="2"/>
  <c r="C290" i="2"/>
  <c r="E289" i="2"/>
  <c r="D289" i="2"/>
  <c r="C289" i="2"/>
  <c r="E288" i="2"/>
  <c r="D288" i="2"/>
  <c r="C288" i="2"/>
  <c r="E287" i="2"/>
  <c r="D287" i="2"/>
  <c r="C287" i="2"/>
  <c r="E286" i="2"/>
  <c r="D286" i="2"/>
  <c r="C286" i="2"/>
  <c r="E285" i="2"/>
  <c r="D285" i="2"/>
  <c r="C285" i="2"/>
  <c r="E284" i="2"/>
  <c r="D284" i="2"/>
  <c r="C284" i="2"/>
  <c r="E283" i="2"/>
  <c r="D283" i="2"/>
  <c r="C283" i="2"/>
  <c r="E282" i="2"/>
  <c r="D282" i="2"/>
  <c r="C282" i="2"/>
  <c r="E281" i="2"/>
  <c r="D281" i="2"/>
  <c r="C281" i="2"/>
  <c r="E280" i="2"/>
  <c r="D280" i="2"/>
  <c r="C280" i="2"/>
  <c r="E279" i="2"/>
  <c r="D279" i="2"/>
  <c r="C279" i="2"/>
  <c r="E278" i="2"/>
  <c r="D278" i="2"/>
  <c r="C278" i="2"/>
  <c r="E277" i="2"/>
  <c r="D277" i="2"/>
  <c r="C277" i="2"/>
  <c r="E276" i="2"/>
  <c r="D276" i="2"/>
  <c r="C276" i="2"/>
  <c r="E275" i="2"/>
  <c r="D275" i="2"/>
  <c r="C275" i="2"/>
  <c r="E274" i="2"/>
  <c r="D274" i="2"/>
  <c r="C274" i="2"/>
  <c r="E273" i="2"/>
  <c r="D273" i="2"/>
  <c r="C273" i="2"/>
  <c r="E272" i="2"/>
  <c r="D272" i="2"/>
  <c r="C272" i="2"/>
  <c r="E271" i="2"/>
  <c r="D271" i="2"/>
  <c r="C271" i="2"/>
  <c r="E270" i="2"/>
  <c r="D270" i="2"/>
  <c r="C270" i="2"/>
  <c r="E269" i="2"/>
  <c r="D269" i="2"/>
  <c r="C269" i="2"/>
  <c r="E268" i="2"/>
  <c r="D268" i="2"/>
  <c r="C268" i="2"/>
  <c r="E267" i="2"/>
  <c r="D267" i="2"/>
  <c r="C267" i="2"/>
  <c r="E266" i="2"/>
  <c r="D266" i="2"/>
  <c r="C266" i="2"/>
  <c r="E265" i="2"/>
  <c r="D265" i="2"/>
  <c r="C265" i="2"/>
  <c r="E264" i="2"/>
  <c r="D264" i="2"/>
  <c r="C264" i="2"/>
  <c r="E263" i="2"/>
  <c r="D263" i="2"/>
  <c r="C263" i="2"/>
  <c r="E262" i="2"/>
  <c r="D262" i="2"/>
  <c r="C262" i="2"/>
  <c r="E261" i="2"/>
  <c r="D261" i="2"/>
  <c r="C261" i="2"/>
  <c r="E260" i="2"/>
  <c r="D260" i="2"/>
  <c r="C260" i="2"/>
  <c r="E259" i="2"/>
  <c r="D259" i="2"/>
  <c r="C259" i="2"/>
  <c r="E258" i="2"/>
  <c r="D258" i="2"/>
  <c r="C258" i="2"/>
  <c r="E257" i="2"/>
  <c r="D257" i="2"/>
  <c r="C257" i="2"/>
  <c r="E256" i="2"/>
  <c r="D256" i="2"/>
  <c r="C256" i="2"/>
  <c r="E255" i="2"/>
  <c r="D255" i="2"/>
  <c r="C255" i="2"/>
  <c r="E254" i="2"/>
  <c r="D254" i="2"/>
  <c r="C254" i="2"/>
  <c r="E253" i="2"/>
  <c r="D253" i="2"/>
  <c r="C253" i="2"/>
  <c r="E252" i="2"/>
  <c r="D252" i="2"/>
  <c r="C252" i="2"/>
  <c r="E251" i="2"/>
  <c r="D251" i="2"/>
  <c r="C251" i="2"/>
  <c r="E250" i="2"/>
  <c r="D250" i="2"/>
  <c r="C250" i="2"/>
  <c r="E249" i="2"/>
  <c r="D249" i="2"/>
  <c r="C249" i="2"/>
  <c r="E248" i="2"/>
  <c r="D248" i="2"/>
  <c r="C248" i="2"/>
  <c r="E247" i="2"/>
  <c r="D247" i="2"/>
  <c r="C247" i="2"/>
  <c r="E246" i="2"/>
  <c r="D246" i="2"/>
  <c r="C246" i="2"/>
  <c r="E245" i="2"/>
  <c r="D245" i="2"/>
  <c r="C245" i="2"/>
  <c r="E244" i="2"/>
  <c r="D244" i="2"/>
  <c r="C244" i="2"/>
  <c r="E243" i="2"/>
  <c r="D243" i="2"/>
  <c r="C243" i="2"/>
  <c r="E242" i="2"/>
  <c r="D242" i="2"/>
  <c r="C242" i="2"/>
  <c r="E241" i="2"/>
  <c r="D241" i="2"/>
  <c r="C241" i="2"/>
  <c r="E240" i="2"/>
  <c r="D240" i="2"/>
  <c r="C240" i="2"/>
  <c r="E239" i="2"/>
  <c r="D239" i="2"/>
  <c r="C239" i="2"/>
  <c r="E238" i="2"/>
  <c r="D238" i="2"/>
  <c r="C238" i="2"/>
  <c r="E237" i="2"/>
  <c r="D237" i="2"/>
  <c r="C237" i="2"/>
  <c r="E236" i="2"/>
  <c r="D236" i="2"/>
  <c r="C236" i="2"/>
  <c r="E235" i="2"/>
  <c r="D235" i="2"/>
  <c r="C235" i="2"/>
  <c r="E234" i="2"/>
  <c r="D234" i="2"/>
  <c r="C234" i="2"/>
  <c r="E233" i="2"/>
  <c r="D233" i="2"/>
  <c r="C233" i="2"/>
  <c r="E232" i="2"/>
  <c r="D232" i="2"/>
  <c r="C232" i="2"/>
  <c r="E231" i="2"/>
  <c r="D231" i="2"/>
  <c r="C231" i="2"/>
  <c r="E230" i="2"/>
  <c r="D230" i="2"/>
  <c r="C230" i="2"/>
  <c r="E229" i="2"/>
  <c r="D229" i="2"/>
  <c r="C229" i="2"/>
  <c r="E228" i="2"/>
  <c r="D228" i="2"/>
  <c r="C228" i="2"/>
  <c r="E227" i="2"/>
  <c r="D227" i="2"/>
  <c r="C227" i="2"/>
  <c r="E226" i="2"/>
  <c r="D226" i="2"/>
  <c r="C226" i="2"/>
  <c r="E225" i="2"/>
  <c r="D225" i="2"/>
  <c r="C225" i="2"/>
  <c r="E224" i="2"/>
  <c r="D224" i="2"/>
  <c r="C224" i="2"/>
  <c r="E223" i="2"/>
  <c r="D223" i="2"/>
  <c r="C223" i="2"/>
  <c r="E222" i="2"/>
  <c r="D222" i="2"/>
  <c r="C222" i="2"/>
  <c r="E221" i="2"/>
  <c r="D221" i="2"/>
  <c r="C221" i="2"/>
  <c r="E220" i="2"/>
  <c r="D220" i="2"/>
  <c r="C220" i="2"/>
  <c r="E219" i="2"/>
  <c r="D219" i="2"/>
  <c r="C219" i="2"/>
  <c r="E218" i="2"/>
  <c r="D218" i="2"/>
  <c r="C218" i="2"/>
  <c r="E217" i="2"/>
  <c r="D217" i="2"/>
  <c r="C217" i="2"/>
  <c r="E216" i="2"/>
  <c r="D216" i="2"/>
  <c r="C216" i="2"/>
  <c r="E215" i="2"/>
  <c r="D215" i="2"/>
  <c r="C215" i="2"/>
  <c r="E214" i="2"/>
  <c r="D214" i="2"/>
  <c r="C214" i="2"/>
  <c r="E213" i="2"/>
  <c r="D213" i="2"/>
  <c r="C213" i="2"/>
  <c r="E212" i="2"/>
  <c r="D212" i="2"/>
  <c r="C212" i="2"/>
  <c r="E211" i="2"/>
  <c r="D211" i="2"/>
  <c r="C211" i="2"/>
  <c r="E210" i="2"/>
  <c r="D210" i="2"/>
  <c r="C210" i="2"/>
  <c r="E209" i="2"/>
  <c r="D209" i="2"/>
  <c r="C209" i="2"/>
  <c r="E208" i="2"/>
  <c r="D208" i="2"/>
  <c r="C208" i="2"/>
  <c r="E207" i="2"/>
  <c r="D207" i="2"/>
  <c r="C207" i="2"/>
  <c r="E206" i="2"/>
  <c r="D206" i="2"/>
  <c r="C206" i="2"/>
  <c r="E205" i="2"/>
  <c r="D205" i="2"/>
  <c r="C205" i="2"/>
  <c r="E204" i="2"/>
  <c r="D204" i="2"/>
  <c r="C204" i="2"/>
  <c r="E203" i="2"/>
  <c r="D203" i="2"/>
  <c r="C203" i="2"/>
  <c r="E202" i="2"/>
  <c r="D202" i="2"/>
  <c r="C202" i="2"/>
  <c r="E201" i="2"/>
  <c r="D201" i="2"/>
  <c r="C201" i="2"/>
  <c r="E200" i="2"/>
  <c r="D200" i="2"/>
  <c r="C200" i="2"/>
  <c r="E199" i="2"/>
  <c r="D199" i="2"/>
  <c r="C199" i="2"/>
  <c r="E198" i="2"/>
  <c r="D198" i="2"/>
  <c r="C198" i="2"/>
  <c r="E197" i="2"/>
  <c r="D197" i="2"/>
  <c r="C197" i="2"/>
  <c r="E196" i="2"/>
  <c r="D196" i="2"/>
  <c r="C196" i="2"/>
  <c r="E195" i="2"/>
  <c r="D195" i="2"/>
  <c r="C195" i="2"/>
  <c r="E194" i="2"/>
  <c r="D194" i="2"/>
  <c r="C194" i="2"/>
  <c r="E193" i="2"/>
  <c r="D193" i="2"/>
  <c r="C193" i="2"/>
  <c r="E192" i="2"/>
  <c r="D192" i="2"/>
  <c r="C192" i="2"/>
  <c r="E191" i="2"/>
  <c r="D191" i="2"/>
  <c r="C191" i="2"/>
  <c r="E190" i="2"/>
  <c r="D190" i="2"/>
  <c r="C190" i="2"/>
  <c r="E189" i="2"/>
  <c r="D189" i="2"/>
  <c r="C189" i="2"/>
  <c r="E188" i="2"/>
  <c r="D188" i="2"/>
  <c r="C188" i="2"/>
  <c r="E187" i="2"/>
  <c r="D187" i="2"/>
  <c r="C187" i="2"/>
  <c r="E186" i="2"/>
  <c r="D186" i="2"/>
  <c r="C186" i="2"/>
  <c r="E185" i="2"/>
  <c r="D185" i="2"/>
  <c r="C185" i="2"/>
  <c r="E184" i="2"/>
  <c r="D184" i="2"/>
  <c r="C184" i="2"/>
  <c r="E183" i="2"/>
  <c r="D183" i="2"/>
  <c r="C183" i="2"/>
  <c r="E182" i="2"/>
  <c r="D182" i="2"/>
  <c r="C182" i="2"/>
  <c r="E181" i="2"/>
  <c r="D181" i="2"/>
  <c r="C181" i="2"/>
  <c r="E180" i="2"/>
  <c r="D180" i="2"/>
  <c r="C180" i="2"/>
  <c r="E179" i="2"/>
  <c r="D179" i="2"/>
  <c r="C179" i="2"/>
  <c r="E178" i="2"/>
  <c r="D178" i="2"/>
  <c r="C178" i="2"/>
  <c r="E177" i="2"/>
  <c r="D177" i="2"/>
  <c r="C177" i="2"/>
  <c r="E176" i="2"/>
  <c r="D176" i="2"/>
  <c r="C176" i="2"/>
  <c r="E175" i="2"/>
  <c r="D175" i="2"/>
  <c r="C175" i="2"/>
  <c r="E174" i="2"/>
  <c r="D174" i="2"/>
  <c r="C174" i="2"/>
  <c r="E173" i="2"/>
  <c r="D173" i="2"/>
  <c r="C173" i="2"/>
  <c r="E172" i="2"/>
  <c r="D172" i="2"/>
  <c r="C172" i="2"/>
  <c r="E171" i="2"/>
  <c r="D171" i="2"/>
  <c r="C171" i="2"/>
  <c r="E170" i="2"/>
  <c r="D170" i="2"/>
  <c r="C170" i="2"/>
  <c r="E169" i="2"/>
  <c r="D169" i="2"/>
  <c r="C169" i="2"/>
  <c r="E168" i="2"/>
  <c r="D168" i="2"/>
  <c r="C168" i="2"/>
  <c r="E167" i="2"/>
  <c r="D167" i="2"/>
  <c r="C167" i="2"/>
  <c r="E166" i="2"/>
  <c r="D166" i="2"/>
  <c r="C166" i="2"/>
  <c r="E165" i="2"/>
  <c r="D165" i="2"/>
  <c r="C165" i="2"/>
  <c r="E164" i="2"/>
  <c r="D164" i="2"/>
  <c r="C164" i="2"/>
  <c r="E163" i="2"/>
  <c r="D163" i="2"/>
  <c r="C163" i="2"/>
  <c r="E162" i="2"/>
  <c r="D162" i="2"/>
  <c r="C162" i="2"/>
  <c r="E161" i="2"/>
  <c r="D161" i="2"/>
  <c r="C161" i="2"/>
  <c r="E160" i="2"/>
  <c r="D160" i="2"/>
  <c r="C160" i="2"/>
  <c r="E159" i="2"/>
  <c r="D159" i="2"/>
  <c r="C159" i="2"/>
  <c r="G158" i="2"/>
  <c r="E158" i="2"/>
  <c r="D158" i="2"/>
  <c r="C158" i="2"/>
  <c r="G157" i="2"/>
  <c r="E157" i="2"/>
  <c r="D157" i="2"/>
  <c r="C157" i="2"/>
  <c r="G156" i="2"/>
  <c r="E156" i="2"/>
  <c r="D156" i="2"/>
  <c r="C156" i="2"/>
  <c r="G155" i="2"/>
  <c r="E155" i="2"/>
  <c r="D155" i="2"/>
  <c r="C155" i="2"/>
  <c r="G154" i="2"/>
  <c r="E154" i="2"/>
  <c r="D154" i="2"/>
  <c r="C154" i="2"/>
  <c r="G153" i="2"/>
  <c r="E153" i="2"/>
  <c r="D153" i="2"/>
  <c r="C153" i="2"/>
  <c r="G152" i="2"/>
  <c r="E152" i="2"/>
  <c r="D152" i="2"/>
  <c r="C152" i="2"/>
  <c r="G151" i="2"/>
  <c r="E151" i="2"/>
  <c r="D151" i="2"/>
  <c r="C151" i="2"/>
  <c r="G150" i="2"/>
  <c r="E150" i="2"/>
  <c r="D150" i="2"/>
  <c r="C150" i="2"/>
  <c r="G149" i="2"/>
  <c r="E149" i="2"/>
  <c r="D149" i="2"/>
  <c r="C149" i="2"/>
  <c r="G148" i="2"/>
  <c r="E148" i="2"/>
  <c r="D148" i="2"/>
  <c r="C148" i="2"/>
  <c r="G147" i="2"/>
  <c r="E147" i="2"/>
  <c r="D147" i="2"/>
  <c r="C147" i="2"/>
  <c r="G146" i="2"/>
  <c r="E146" i="2"/>
  <c r="D146" i="2"/>
  <c r="C146" i="2"/>
  <c r="G145" i="2"/>
  <c r="E145" i="2"/>
  <c r="D145" i="2"/>
  <c r="C145" i="2"/>
  <c r="G144" i="2"/>
  <c r="E144" i="2"/>
  <c r="D144" i="2"/>
  <c r="C144" i="2"/>
  <c r="G143" i="2"/>
  <c r="E143" i="2"/>
  <c r="D143" i="2"/>
  <c r="C143" i="2"/>
  <c r="G142" i="2"/>
  <c r="E142" i="2"/>
  <c r="D142" i="2"/>
  <c r="C142" i="2"/>
  <c r="G141" i="2"/>
  <c r="E141" i="2"/>
  <c r="D141" i="2"/>
  <c r="C141" i="2"/>
  <c r="G140" i="2"/>
  <c r="E140" i="2"/>
  <c r="D140" i="2"/>
  <c r="C140" i="2"/>
  <c r="G139" i="2"/>
  <c r="E139" i="2"/>
  <c r="D139" i="2"/>
  <c r="C139" i="2"/>
  <c r="G138" i="2"/>
  <c r="E138" i="2"/>
  <c r="D138" i="2"/>
  <c r="C138" i="2"/>
  <c r="G137" i="2"/>
  <c r="E137" i="2"/>
  <c r="D137" i="2"/>
  <c r="C137" i="2"/>
  <c r="G136" i="2"/>
  <c r="E136" i="2"/>
  <c r="D136" i="2"/>
  <c r="C136" i="2"/>
  <c r="G135" i="2"/>
  <c r="E135" i="2"/>
  <c r="D135" i="2"/>
  <c r="C135" i="2"/>
  <c r="G134" i="2"/>
  <c r="E134" i="2"/>
  <c r="D134" i="2"/>
  <c r="C134" i="2"/>
  <c r="G133" i="2"/>
  <c r="E133" i="2"/>
  <c r="D133" i="2"/>
  <c r="C133" i="2"/>
  <c r="G132" i="2"/>
  <c r="E132" i="2"/>
  <c r="D132" i="2"/>
  <c r="C132" i="2"/>
  <c r="G131" i="2"/>
  <c r="E131" i="2"/>
  <c r="D131" i="2"/>
  <c r="C131" i="2"/>
  <c r="G130" i="2"/>
  <c r="E130" i="2"/>
  <c r="D130" i="2"/>
  <c r="C130" i="2"/>
  <c r="G129" i="2"/>
  <c r="E129" i="2"/>
  <c r="D129" i="2"/>
  <c r="C129" i="2"/>
  <c r="G128" i="2"/>
  <c r="E128" i="2"/>
  <c r="D128" i="2"/>
  <c r="C128" i="2"/>
  <c r="G127" i="2"/>
  <c r="E127" i="2"/>
  <c r="D127" i="2"/>
  <c r="C127" i="2"/>
  <c r="G126" i="2"/>
  <c r="E126" i="2"/>
  <c r="D126" i="2"/>
  <c r="C126" i="2"/>
  <c r="G125" i="2"/>
  <c r="E125" i="2"/>
  <c r="D125" i="2"/>
  <c r="C125" i="2"/>
  <c r="G124" i="2"/>
  <c r="E124" i="2"/>
  <c r="D124" i="2"/>
  <c r="C124" i="2"/>
  <c r="G123" i="2"/>
  <c r="E123" i="2"/>
  <c r="D123" i="2"/>
  <c r="C123" i="2"/>
  <c r="G122" i="2"/>
  <c r="E122" i="2"/>
  <c r="D122" i="2"/>
  <c r="C122" i="2"/>
  <c r="G121" i="2"/>
  <c r="E121" i="2"/>
  <c r="D121" i="2"/>
  <c r="C121" i="2"/>
  <c r="G120" i="2"/>
  <c r="E120" i="2"/>
  <c r="D120" i="2"/>
  <c r="C120" i="2"/>
  <c r="G119" i="2"/>
  <c r="E119" i="2"/>
  <c r="D119" i="2"/>
  <c r="C119" i="2"/>
  <c r="G118" i="2"/>
  <c r="E118" i="2"/>
  <c r="D118" i="2"/>
  <c r="C118" i="2"/>
  <c r="G117" i="2"/>
  <c r="E117" i="2"/>
  <c r="D117" i="2"/>
  <c r="C117" i="2"/>
  <c r="G116" i="2"/>
  <c r="E116" i="2"/>
  <c r="D116" i="2"/>
  <c r="C116" i="2"/>
  <c r="G115" i="2"/>
  <c r="E115" i="2"/>
  <c r="D115" i="2"/>
  <c r="C115" i="2"/>
  <c r="G114" i="2"/>
  <c r="E114" i="2"/>
  <c r="D114" i="2"/>
  <c r="C114" i="2"/>
  <c r="G113" i="2"/>
  <c r="E113" i="2"/>
  <c r="D113" i="2"/>
  <c r="C113" i="2"/>
  <c r="G112" i="2"/>
  <c r="E112" i="2"/>
  <c r="D112" i="2"/>
  <c r="C112" i="2"/>
  <c r="G111" i="2"/>
  <c r="E111" i="2"/>
  <c r="D111" i="2"/>
  <c r="C111" i="2"/>
  <c r="G110" i="2"/>
  <c r="E110" i="2"/>
  <c r="D110" i="2"/>
  <c r="C110" i="2"/>
  <c r="G109" i="2"/>
  <c r="E109" i="2"/>
  <c r="D109" i="2"/>
  <c r="C109" i="2"/>
  <c r="G108" i="2"/>
  <c r="E108" i="2"/>
  <c r="D108" i="2"/>
  <c r="C108" i="2"/>
  <c r="G107" i="2"/>
  <c r="E107" i="2"/>
  <c r="D107" i="2"/>
  <c r="C107" i="2"/>
  <c r="G106" i="2"/>
  <c r="E106" i="2"/>
  <c r="D106" i="2"/>
  <c r="C106" i="2"/>
  <c r="G105" i="2"/>
  <c r="E105" i="2"/>
  <c r="D105" i="2"/>
  <c r="C105" i="2"/>
  <c r="G104" i="2"/>
  <c r="E104" i="2"/>
  <c r="D104" i="2"/>
  <c r="C104" i="2"/>
  <c r="G103" i="2"/>
  <c r="E103" i="2"/>
  <c r="D103" i="2"/>
  <c r="C103" i="2"/>
  <c r="G102" i="2"/>
  <c r="E102" i="2"/>
  <c r="D102" i="2"/>
  <c r="C102" i="2"/>
  <c r="G101" i="2"/>
  <c r="E101" i="2"/>
  <c r="D101" i="2"/>
  <c r="C101" i="2"/>
  <c r="G100" i="2"/>
  <c r="E100" i="2"/>
  <c r="D100" i="2"/>
  <c r="C100" i="2"/>
  <c r="G99" i="2"/>
  <c r="E99" i="2"/>
  <c r="D99" i="2"/>
  <c r="C99" i="2"/>
  <c r="G98" i="2"/>
  <c r="E98" i="2"/>
  <c r="D98" i="2"/>
  <c r="C98" i="2"/>
  <c r="G97" i="2"/>
  <c r="E97" i="2"/>
  <c r="D97" i="2"/>
  <c r="C97" i="2"/>
  <c r="G96" i="2"/>
  <c r="E96" i="2"/>
  <c r="D96" i="2"/>
  <c r="C96" i="2"/>
  <c r="G95" i="2"/>
  <c r="E95" i="2"/>
  <c r="D95" i="2"/>
  <c r="C95" i="2"/>
  <c r="G94" i="2"/>
  <c r="E94" i="2"/>
  <c r="D94" i="2"/>
  <c r="C94" i="2"/>
  <c r="G93" i="2"/>
  <c r="E93" i="2"/>
  <c r="D93" i="2"/>
  <c r="C93" i="2"/>
  <c r="G92" i="2"/>
  <c r="E92" i="2"/>
  <c r="D92" i="2"/>
  <c r="C92" i="2"/>
  <c r="G91" i="2"/>
  <c r="E91" i="2"/>
  <c r="D91" i="2"/>
  <c r="C91" i="2"/>
  <c r="G90" i="2"/>
  <c r="E90" i="2"/>
  <c r="D90" i="2"/>
  <c r="C90" i="2"/>
  <c r="G89" i="2"/>
  <c r="E89" i="2"/>
  <c r="D89" i="2"/>
  <c r="C89" i="2"/>
  <c r="G88" i="2"/>
  <c r="E88" i="2"/>
  <c r="D88" i="2"/>
  <c r="C88" i="2"/>
  <c r="G87" i="2"/>
  <c r="E87" i="2"/>
  <c r="D87" i="2"/>
  <c r="C87" i="2"/>
  <c r="G86" i="2"/>
  <c r="E86" i="2"/>
  <c r="D86" i="2"/>
  <c r="C86" i="2"/>
  <c r="G85" i="2"/>
  <c r="E85" i="2"/>
  <c r="D85" i="2"/>
  <c r="C85" i="2"/>
  <c r="G84" i="2"/>
  <c r="E84" i="2"/>
  <c r="D84" i="2"/>
  <c r="C84" i="2"/>
  <c r="G83" i="2"/>
  <c r="E83" i="2"/>
  <c r="D83" i="2"/>
  <c r="C83" i="2"/>
  <c r="G82" i="2"/>
  <c r="E82" i="2"/>
  <c r="D82" i="2"/>
  <c r="C82" i="2"/>
  <c r="G81" i="2"/>
  <c r="E81" i="2"/>
  <c r="D81" i="2"/>
  <c r="C81" i="2"/>
  <c r="G80" i="2"/>
  <c r="E80" i="2"/>
  <c r="D80" i="2"/>
  <c r="C80" i="2"/>
  <c r="G79" i="2"/>
  <c r="E79" i="2"/>
  <c r="D79" i="2"/>
  <c r="C79" i="2"/>
  <c r="G78" i="2"/>
  <c r="E78" i="2"/>
  <c r="D78" i="2"/>
  <c r="C78" i="2"/>
  <c r="G77" i="2"/>
  <c r="E77" i="2"/>
  <c r="D77" i="2"/>
  <c r="C77" i="2"/>
  <c r="G76" i="2"/>
  <c r="E76" i="2"/>
  <c r="D76" i="2"/>
  <c r="C76" i="2"/>
  <c r="R12" i="3" l="1"/>
  <c r="R6" i="3"/>
  <c r="S6" i="3" s="1"/>
  <c r="C132" i="3"/>
  <c r="O7" i="3" s="1"/>
  <c r="C128" i="3"/>
  <c r="C129" i="3"/>
  <c r="C133" i="3"/>
  <c r="N7" i="3" s="1"/>
  <c r="R7" i="3" l="1"/>
  <c r="S7" i="3" s="1"/>
  <c r="S8" i="3" s="1"/>
  <c r="S9" i="3" s="1"/>
  <c r="S10" i="3" s="1"/>
  <c r="S11" i="3" s="1"/>
  <c r="S12" i="3" s="1"/>
  <c r="S13" i="3" s="1"/>
  <c r="S14" i="3" s="1"/>
  <c r="S15" i="3" s="1"/>
  <c r="S16" i="3" s="1"/>
  <c r="S17" i="3" s="1"/>
  <c r="S18" i="3" s="1"/>
  <c r="T21" i="3" s="1"/>
</calcChain>
</file>

<file path=xl/sharedStrings.xml><?xml version="1.0" encoding="utf-8"?>
<sst xmlns="http://schemas.openxmlformats.org/spreadsheetml/2006/main" count="40" uniqueCount="38">
  <si>
    <t>Date</t>
  </si>
  <si>
    <t>Raw Data in US$ (updated weekly)</t>
  </si>
  <si>
    <t>NAV per share</t>
  </si>
  <si>
    <t>Bid Price</t>
  </si>
  <si>
    <t>Offer Price</t>
  </si>
  <si>
    <t>Number of shares</t>
  </si>
  <si>
    <t>Outstanding</t>
  </si>
  <si>
    <t>Total NAV</t>
  </si>
  <si>
    <t>(millions)</t>
  </si>
  <si>
    <r>
      <t>Source: UBS Fund Services (Cayman) Ltd and Thomson Financial (Datastrea</t>
    </r>
    <r>
      <rPr>
        <b/>
        <sz val="10"/>
        <color indexed="9"/>
        <rFont val="Times New Roman"/>
        <family val="1"/>
      </rPr>
      <t>m)</t>
    </r>
  </si>
  <si>
    <t>Vantage World Equity Fund ("VWEF") and Benchmarks</t>
  </si>
  <si>
    <t>Month</t>
  </si>
  <si>
    <t>U$</t>
  </si>
  <si>
    <t>% chge on Month</t>
  </si>
  <si>
    <t>Tabular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</si>
  <si>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</si>
  <si>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</si>
  <si>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</si>
  <si>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</si>
  <si>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</si>
  <si>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</si>
  <si>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</si>
  <si>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</si>
  <si>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</si>
  <si>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</si>
  <si>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</si>
  <si>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</si>
  <si>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</si>
  <si>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World
Monthly Returns</t>
  </si>
  <si>
    <t>CAGR</t>
  </si>
  <si>
    <t>Cum Return</t>
  </si>
  <si>
    <t>MSCI World Index</t>
  </si>
  <si>
    <t>Total Return</t>
  </si>
  <si>
    <t>Total Return (Rebased to 100)</t>
  </si>
  <si>
    <t xml:space="preserve">May </t>
  </si>
  <si>
    <t>Last Date</t>
  </si>
  <si>
    <t>Incep Date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</si>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</sst>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0.0%"/>
    <numFmt numFmtId="168" formatCode="d\-mmm\-yyyy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9"/>
      <name val="Garamond"/>
      <family val="1"/>
    </font>
    <font>
      <sz val="18"/>
      <name val="Garamond"/>
      <family val="1"/>
    </font>
    <font>
      <b/>
      <sz val="10"/>
      <color indexed="9"/>
      <name val="Garamond"/>
      <family val="1"/>
    </font>
    <font>
      <sz val="10"/>
      <name val="Garamond"/>
      <family val="1"/>
    </font>
    <font>
      <sz val="9"/>
      <color indexed="9"/>
      <name val="Garamond"/>
      <family val="1"/>
    </font>
    <font>
      <sz val="9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6"/>
      <color indexed="9"/>
      <name val="Garamond"/>
      <family val="1"/>
    </font>
    <font>
      <b/>
      <u/>
      <sz val="10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10"/>
      <name val="Garamond"/>
      <family val="1"/>
    </font>
    <font>
      <sz val="10"/>
      <color indexed="9"/>
      <name val="Garamond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1"/>
      <color theme="1"/>
      <name val="Frutiger 55 Roman"/>
      <family val="2"/>
    </font>
    <font>
      <b/>
      <sz val="16"/>
      <color theme="0"/>
      <name val="Garamond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27">
    <xf numFmtId="0" fontId="0" fillId="0" borderId="0"/>
    <xf numFmtId="0" fontId="30" fillId="3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2" borderId="0" applyNumberFormat="0" applyBorder="0" applyAlignment="0" applyProtection="0"/>
    <xf numFmtId="0" fontId="30" fillId="11" borderId="0" applyNumberFormat="0" applyBorder="0" applyAlignment="0" applyProtection="0"/>
    <xf numFmtId="0" fontId="30" fillId="4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4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1" fillId="15" borderId="0" applyNumberFormat="0" applyBorder="0" applyAlignment="0" applyProtection="0"/>
    <xf numFmtId="0" fontId="31" fillId="22" borderId="0" applyNumberFormat="0" applyBorder="0" applyAlignment="0" applyProtection="0"/>
    <xf numFmtId="0" fontId="32" fillId="5" borderId="0" applyNumberFormat="0" applyBorder="0" applyAlignment="0" applyProtection="0"/>
    <xf numFmtId="0" fontId="33" fillId="10" borderId="1" applyNumberFormat="0" applyAlignment="0" applyProtection="0"/>
    <xf numFmtId="0" fontId="34" fillId="23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37" fillId="2" borderId="1" applyNumberFormat="0" applyAlignment="0" applyProtection="0"/>
    <xf numFmtId="0" fontId="38" fillId="0" borderId="6" applyNumberFormat="0" applyFill="0" applyAlignment="0" applyProtection="0"/>
    <xf numFmtId="0" fontId="39" fillId="12" borderId="0" applyNumberFormat="0" applyBorder="0" applyAlignment="0" applyProtection="0"/>
    <xf numFmtId="0" fontId="49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47" fillId="0" borderId="0"/>
    <xf numFmtId="0" fontId="47" fillId="0" borderId="0"/>
    <xf numFmtId="0" fontId="49" fillId="0" borderId="0"/>
    <xf numFmtId="0" fontId="14" fillId="0" borderId="0"/>
    <xf numFmtId="0" fontId="30" fillId="0" borderId="0"/>
    <xf numFmtId="0" fontId="14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47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40" fillId="10" borderId="8" applyNumberFormat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6" borderId="7" applyNumberFormat="0" applyFont="0" applyAlignment="0" applyProtection="0"/>
    <xf numFmtId="0" fontId="8" fillId="6" borderId="7" applyNumberFormat="0" applyFont="0" applyAlignment="0" applyProtection="0"/>
    <xf numFmtId="0" fontId="8" fillId="6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6" borderId="7" applyNumberFormat="0" applyFont="0" applyAlignment="0" applyProtection="0"/>
    <xf numFmtId="0" fontId="8" fillId="6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6" borderId="7" applyNumberFormat="0" applyFont="0" applyAlignment="0" applyProtection="0"/>
    <xf numFmtId="9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4" fillId="0" borderId="41" applyNumberFormat="0" applyFill="0" applyAlignment="0" applyProtection="0"/>
    <xf numFmtId="0" fontId="54" fillId="0" borderId="0" applyNumberFormat="0" applyFill="0" applyBorder="0" applyAlignment="0" applyProtection="0"/>
    <xf numFmtId="0" fontId="55" fillId="26" borderId="0" applyNumberFormat="0" applyBorder="0" applyAlignment="0" applyProtection="0"/>
    <xf numFmtId="0" fontId="56" fillId="27" borderId="0" applyNumberFormat="0" applyBorder="0" applyAlignment="0" applyProtection="0"/>
    <xf numFmtId="0" fontId="57" fillId="28" borderId="0" applyNumberFormat="0" applyBorder="0" applyAlignment="0" applyProtection="0"/>
    <xf numFmtId="0" fontId="58" fillId="29" borderId="42" applyNumberFormat="0" applyAlignment="0" applyProtection="0"/>
    <xf numFmtId="0" fontId="59" fillId="30" borderId="43" applyNumberFormat="0" applyAlignment="0" applyProtection="0"/>
    <xf numFmtId="0" fontId="60" fillId="30" borderId="42" applyNumberFormat="0" applyAlignment="0" applyProtection="0"/>
    <xf numFmtId="0" fontId="61" fillId="0" borderId="44" applyNumberFormat="0" applyFill="0" applyAlignment="0" applyProtection="0"/>
    <xf numFmtId="0" fontId="62" fillId="31" borderId="45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47" applyNumberFormat="0" applyFill="0" applyAlignment="0" applyProtection="0"/>
    <xf numFmtId="165" fontId="1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165" fontId="1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66" fillId="53" borderId="0" applyNumberFormat="0" applyBorder="0" applyAlignment="0" applyProtection="0"/>
    <xf numFmtId="0" fontId="66" fillId="52" borderId="0" applyNumberFormat="0" applyBorder="0" applyAlignment="0" applyProtection="0"/>
    <xf numFmtId="0" fontId="1" fillId="46" borderId="0" applyNumberFormat="0" applyBorder="0" applyAlignment="0" applyProtection="0"/>
    <xf numFmtId="0" fontId="66" fillId="41" borderId="0" applyNumberFormat="0" applyBorder="0" applyAlignment="0" applyProtection="0"/>
    <xf numFmtId="0" fontId="66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66" fillId="37" borderId="0" applyNumberFormat="0" applyBorder="0" applyAlignment="0" applyProtection="0"/>
    <xf numFmtId="0" fontId="66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66" fillId="33" borderId="0" applyNumberFormat="0" applyBorder="0" applyAlignment="0" applyProtection="0"/>
    <xf numFmtId="0" fontId="1" fillId="32" borderId="4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3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46" applyNumberFormat="0" applyFont="0" applyAlignment="0" applyProtection="0"/>
    <xf numFmtId="0" fontId="66" fillId="56" borderId="0" applyNumberFormat="0" applyBorder="0" applyAlignment="0" applyProtection="0"/>
    <xf numFmtId="0" fontId="66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51" borderId="0" applyNumberFormat="0" applyBorder="0" applyAlignment="0" applyProtection="0"/>
    <xf numFmtId="0" fontId="66" fillId="45" borderId="0" applyNumberFormat="0" applyBorder="0" applyAlignment="0" applyProtection="0"/>
    <xf numFmtId="0" fontId="66" fillId="44" borderId="0" applyNumberFormat="0" applyBorder="0" applyAlignment="0" applyProtection="0"/>
    <xf numFmtId="0" fontId="66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</cellStyleXfs>
  <cellXfs count="157">
    <xf numFmtId="0" fontId="0" fillId="0" borderId="0" xfId="0"/>
    <xf numFmtId="0" fontId="9" fillId="0" borderId="0" xfId="0" applyFont="1"/>
    <xf numFmtId="2" fontId="9" fillId="0" borderId="0" xfId="0" applyNumberFormat="1" applyFont="1"/>
    <xf numFmtId="15" fontId="9" fillId="0" borderId="0" xfId="0" applyNumberFormat="1" applyFont="1"/>
    <xf numFmtId="0" fontId="9" fillId="0" borderId="0" xfId="0" applyFont="1" applyBorder="1"/>
    <xf numFmtId="14" fontId="9" fillId="0" borderId="0" xfId="0" applyNumberFormat="1" applyFont="1" applyBorder="1"/>
    <xf numFmtId="15" fontId="9" fillId="0" borderId="10" xfId="0" applyNumberFormat="1" applyFont="1" applyBorder="1"/>
    <xf numFmtId="2" fontId="9" fillId="0" borderId="10" xfId="0" applyNumberFormat="1" applyFont="1" applyBorder="1"/>
    <xf numFmtId="2" fontId="10" fillId="24" borderId="11" xfId="0" applyNumberFormat="1" applyFont="1" applyFill="1" applyBorder="1" applyAlignment="1">
      <alignment horizontal="center"/>
    </xf>
    <xf numFmtId="15" fontId="10" fillId="24" borderId="12" xfId="0" applyNumberFormat="1" applyFont="1" applyFill="1" applyBorder="1" applyAlignment="1">
      <alignment horizontal="center"/>
    </xf>
    <xf numFmtId="2" fontId="10" fillId="24" borderId="13" xfId="0" applyNumberFormat="1" applyFont="1" applyFill="1" applyBorder="1" applyAlignment="1">
      <alignment horizontal="center"/>
    </xf>
    <xf numFmtId="1" fontId="10" fillId="24" borderId="14" xfId="0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0" xfId="0" applyFont="1"/>
    <xf numFmtId="10" fontId="9" fillId="0" borderId="0" xfId="0" applyNumberFormat="1" applyFont="1" applyBorder="1"/>
    <xf numFmtId="0" fontId="9" fillId="0" borderId="0" xfId="0" applyFont="1" applyFill="1" applyBorder="1"/>
    <xf numFmtId="0" fontId="9" fillId="0" borderId="0" xfId="0" applyFont="1" applyFill="1"/>
    <xf numFmtId="2" fontId="9" fillId="0" borderId="0" xfId="0" applyNumberFormat="1" applyFont="1" applyBorder="1"/>
    <xf numFmtId="0" fontId="0" fillId="0" borderId="0" xfId="0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/>
    <xf numFmtId="0" fontId="15" fillId="0" borderId="0" xfId="0" applyFont="1"/>
    <xf numFmtId="0" fontId="13" fillId="0" borderId="0" xfId="0" applyFont="1"/>
    <xf numFmtId="15" fontId="18" fillId="24" borderId="12" xfId="0" applyNumberFormat="1" applyFont="1" applyFill="1" applyBorder="1" applyAlignment="1">
      <alignment horizontal="center"/>
    </xf>
    <xf numFmtId="2" fontId="18" fillId="24" borderId="13" xfId="0" applyNumberFormat="1" applyFont="1" applyFill="1" applyBorder="1" applyAlignment="1">
      <alignment horizontal="center"/>
    </xf>
    <xf numFmtId="2" fontId="18" fillId="24" borderId="0" xfId="0" applyNumberFormat="1" applyFont="1" applyFill="1" applyBorder="1" applyAlignment="1">
      <alignment horizontal="center"/>
    </xf>
    <xf numFmtId="1" fontId="18" fillId="24" borderId="14" xfId="0" applyNumberFormat="1" applyFont="1" applyFill="1" applyBorder="1" applyAlignment="1">
      <alignment horizontal="center"/>
    </xf>
    <xf numFmtId="15" fontId="23" fillId="25" borderId="10" xfId="0" applyNumberFormat="1" applyFont="1" applyFill="1" applyBorder="1" applyAlignment="1">
      <alignment horizontal="center"/>
    </xf>
    <xf numFmtId="2" fontId="23" fillId="0" borderId="15" xfId="0" applyNumberFormat="1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2" fontId="23" fillId="0" borderId="16" xfId="0" applyNumberFormat="1" applyFont="1" applyFill="1" applyBorder="1" applyAlignment="1">
      <alignment horizontal="center"/>
    </xf>
    <xf numFmtId="15" fontId="23" fillId="25" borderId="15" xfId="0" applyNumberFormat="1" applyFont="1" applyFill="1" applyBorder="1" applyAlignment="1">
      <alignment horizontal="center"/>
    </xf>
    <xf numFmtId="1" fontId="23" fillId="0" borderId="15" xfId="0" applyNumberFormat="1" applyFont="1" applyFill="1" applyBorder="1" applyAlignment="1">
      <alignment horizontal="center"/>
    </xf>
    <xf numFmtId="15" fontId="23" fillId="25" borderId="17" xfId="0" applyNumberFormat="1" applyFont="1" applyFill="1" applyBorder="1" applyAlignment="1">
      <alignment horizontal="center"/>
    </xf>
    <xf numFmtId="15" fontId="23" fillId="0" borderId="17" xfId="0" applyNumberFormat="1" applyFont="1" applyFill="1" applyBorder="1" applyAlignment="1">
      <alignment horizontal="center"/>
    </xf>
    <xf numFmtId="2" fontId="23" fillId="0" borderId="10" xfId="0" applyNumberFormat="1" applyFont="1" applyFill="1" applyBorder="1" applyAlignment="1">
      <alignment horizontal="center"/>
    </xf>
    <xf numFmtId="15" fontId="23" fillId="0" borderId="10" xfId="0" applyNumberFormat="1" applyFont="1" applyFill="1" applyBorder="1" applyAlignment="1">
      <alignment horizontal="center"/>
    </xf>
    <xf numFmtId="15" fontId="9" fillId="0" borderId="15" xfId="0" applyNumberFormat="1" applyFont="1" applyBorder="1"/>
    <xf numFmtId="2" fontId="9" fillId="0" borderId="15" xfId="0" applyNumberFormat="1" applyFont="1" applyBorder="1"/>
    <xf numFmtId="15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5" fontId="9" fillId="0" borderId="0" xfId="0" applyNumberFormat="1" applyFont="1" applyBorder="1"/>
    <xf numFmtId="15" fontId="23" fillId="0" borderId="18" xfId="0" applyNumberFormat="1" applyFont="1" applyFill="1" applyBorder="1" applyAlignment="1">
      <alignment horizontal="center"/>
    </xf>
    <xf numFmtId="2" fontId="23" fillId="0" borderId="18" xfId="0" applyNumberFormat="1" applyFont="1" applyFill="1" applyBorder="1" applyAlignment="1">
      <alignment horizontal="center"/>
    </xf>
    <xf numFmtId="1" fontId="23" fillId="0" borderId="18" xfId="0" applyNumberFormat="1" applyFont="1" applyFill="1" applyBorder="1" applyAlignment="1">
      <alignment horizontal="center"/>
    </xf>
    <xf numFmtId="10" fontId="19" fillId="0" borderId="0" xfId="0" applyNumberFormat="1" applyFont="1" applyFill="1" applyBorder="1"/>
    <xf numFmtId="0" fontId="22" fillId="0" borderId="19" xfId="0" applyFont="1" applyFill="1" applyBorder="1"/>
    <xf numFmtId="2" fontId="26" fillId="0" borderId="14" xfId="0" applyNumberFormat="1" applyFont="1" applyFill="1" applyBorder="1" applyAlignment="1">
      <alignment horizontal="center"/>
    </xf>
    <xf numFmtId="10" fontId="26" fillId="0" borderId="20" xfId="120" applyNumberFormat="1" applyFont="1" applyBorder="1" applyAlignment="1">
      <alignment horizontal="center"/>
    </xf>
    <xf numFmtId="10" fontId="26" fillId="0" borderId="21" xfId="120" applyNumberFormat="1" applyFont="1" applyBorder="1" applyAlignment="1">
      <alignment horizontal="center"/>
    </xf>
    <xf numFmtId="17" fontId="26" fillId="0" borderId="22" xfId="0" applyNumberFormat="1" applyFont="1" applyFill="1" applyBorder="1" applyAlignment="1">
      <alignment horizontal="center"/>
    </xf>
    <xf numFmtId="17" fontId="26" fillId="0" borderId="22" xfId="0" applyNumberFormat="1" applyFont="1" applyBorder="1" applyAlignment="1">
      <alignment horizontal="center"/>
    </xf>
    <xf numFmtId="17" fontId="26" fillId="0" borderId="23" xfId="0" applyNumberFormat="1" applyFont="1" applyBorder="1" applyAlignment="1">
      <alignment horizontal="center"/>
    </xf>
    <xf numFmtId="2" fontId="26" fillId="0" borderId="25" xfId="0" applyNumberFormat="1" applyFont="1" applyFill="1" applyBorder="1" applyAlignment="1">
      <alignment horizontal="center"/>
    </xf>
    <xf numFmtId="1" fontId="23" fillId="0" borderId="14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2" fontId="10" fillId="24" borderId="14" xfId="0" applyNumberFormat="1" applyFont="1" applyFill="1" applyBorder="1" applyAlignment="1">
      <alignment horizontal="center"/>
    </xf>
    <xf numFmtId="2" fontId="18" fillId="24" borderId="14" xfId="0" applyNumberFormat="1" applyFont="1" applyFill="1" applyBorder="1" applyAlignment="1">
      <alignment horizontal="center"/>
    </xf>
    <xf numFmtId="2" fontId="23" fillId="25" borderId="10" xfId="0" applyNumberFormat="1" applyFont="1" applyFill="1" applyBorder="1" applyAlignment="1">
      <alignment horizontal="center"/>
    </xf>
    <xf numFmtId="2" fontId="23" fillId="25" borderId="14" xfId="0" applyNumberFormat="1" applyFont="1" applyFill="1" applyBorder="1" applyAlignment="1">
      <alignment horizontal="center"/>
    </xf>
    <xf numFmtId="2" fontId="23" fillId="25" borderId="15" xfId="0" applyNumberFormat="1" applyFont="1" applyFill="1" applyBorder="1" applyAlignment="1">
      <alignment horizontal="center"/>
    </xf>
    <xf numFmtId="15" fontId="23" fillId="25" borderId="12" xfId="0" applyNumberFormat="1" applyFont="1" applyFill="1" applyBorder="1" applyAlignment="1">
      <alignment horizontal="center"/>
    </xf>
    <xf numFmtId="166" fontId="23" fillId="0" borderId="10" xfId="0" applyNumberFormat="1" applyFont="1" applyFill="1" applyBorder="1" applyAlignment="1">
      <alignment horizontal="center"/>
    </xf>
    <xf numFmtId="166" fontId="23" fillId="25" borderId="15" xfId="0" applyNumberFormat="1" applyFont="1" applyFill="1" applyBorder="1" applyAlignment="1">
      <alignment horizontal="center"/>
    </xf>
    <xf numFmtId="166" fontId="23" fillId="25" borderId="14" xfId="0" applyNumberFormat="1" applyFont="1" applyFill="1" applyBorder="1" applyAlignment="1">
      <alignment horizontal="center"/>
    </xf>
    <xf numFmtId="166" fontId="23" fillId="0" borderId="15" xfId="0" applyNumberFormat="1" applyFont="1" applyFill="1" applyBorder="1" applyAlignment="1">
      <alignment horizontal="center"/>
    </xf>
    <xf numFmtId="166" fontId="23" fillId="25" borderId="10" xfId="0" applyNumberFormat="1" applyFont="1" applyFill="1" applyBorder="1" applyAlignment="1">
      <alignment horizontal="center"/>
    </xf>
    <xf numFmtId="167" fontId="19" fillId="0" borderId="20" xfId="120" applyNumberFormat="1" applyFont="1" applyBorder="1"/>
    <xf numFmtId="0" fontId="25" fillId="0" borderId="0" xfId="0" applyFont="1" applyFill="1" applyBorder="1"/>
    <xf numFmtId="0" fontId="25" fillId="0" borderId="27" xfId="0" applyFont="1" applyFill="1" applyBorder="1"/>
    <xf numFmtId="0" fontId="22" fillId="0" borderId="28" xfId="0" applyFont="1" applyFill="1" applyBorder="1" applyAlignment="1">
      <alignment horizontal="right"/>
    </xf>
    <xf numFmtId="0" fontId="22" fillId="0" borderId="24" xfId="0" applyFont="1" applyFill="1" applyBorder="1" applyAlignment="1">
      <alignment horizontal="right"/>
    </xf>
    <xf numFmtId="0" fontId="22" fillId="0" borderId="29" xfId="0" applyFont="1" applyFill="1" applyBorder="1"/>
    <xf numFmtId="2" fontId="23" fillId="0" borderId="13" xfId="0" applyNumberFormat="1" applyFont="1" applyFill="1" applyBorder="1" applyAlignment="1">
      <alignment horizontal="center"/>
    </xf>
    <xf numFmtId="15" fontId="23" fillId="25" borderId="30" xfId="0" applyNumberFormat="1" applyFont="1" applyFill="1" applyBorder="1" applyAlignment="1">
      <alignment horizontal="center"/>
    </xf>
    <xf numFmtId="2" fontId="23" fillId="0" borderId="31" xfId="0" applyNumberFormat="1" applyFont="1" applyFill="1" applyBorder="1" applyAlignment="1">
      <alignment horizontal="center"/>
    </xf>
    <xf numFmtId="2" fontId="23" fillId="0" borderId="32" xfId="0" applyNumberFormat="1" applyFont="1" applyFill="1" applyBorder="1" applyAlignment="1">
      <alignment horizontal="center"/>
    </xf>
    <xf numFmtId="166" fontId="23" fillId="0" borderId="11" xfId="0" applyNumberFormat="1" applyFont="1" applyFill="1" applyBorder="1" applyAlignment="1">
      <alignment horizontal="center"/>
    </xf>
    <xf numFmtId="2" fontId="23" fillId="0" borderId="11" xfId="0" applyNumberFormat="1" applyFont="1" applyFill="1" applyBorder="1" applyAlignment="1">
      <alignment horizontal="center"/>
    </xf>
    <xf numFmtId="15" fontId="23" fillId="25" borderId="33" xfId="0" applyNumberFormat="1" applyFont="1" applyFill="1" applyBorder="1" applyAlignment="1">
      <alignment horizontal="center"/>
    </xf>
    <xf numFmtId="166" fontId="23" fillId="25" borderId="11" xfId="0" applyNumberFormat="1" applyFont="1" applyFill="1" applyBorder="1" applyAlignment="1">
      <alignment horizontal="center"/>
    </xf>
    <xf numFmtId="1" fontId="23" fillId="0" borderId="11" xfId="0" applyNumberFormat="1" applyFont="1" applyFill="1" applyBorder="1" applyAlignment="1">
      <alignment horizontal="center"/>
    </xf>
    <xf numFmtId="2" fontId="22" fillId="0" borderId="11" xfId="0" applyNumberFormat="1" applyFont="1" applyFill="1" applyBorder="1" applyAlignment="1">
      <alignment horizontal="center"/>
    </xf>
    <xf numFmtId="2" fontId="26" fillId="0" borderId="13" xfId="0" applyNumberFormat="1" applyFont="1" applyFill="1" applyBorder="1" applyAlignment="1">
      <alignment horizontal="center"/>
    </xf>
    <xf numFmtId="17" fontId="26" fillId="0" borderId="13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2" fillId="0" borderId="27" xfId="0" applyFont="1" applyFill="1" applyBorder="1"/>
    <xf numFmtId="10" fontId="19" fillId="0" borderId="28" xfId="0" applyNumberFormat="1" applyFont="1" applyFill="1" applyBorder="1"/>
    <xf numFmtId="167" fontId="19" fillId="0" borderId="24" xfId="120" applyNumberFormat="1" applyFont="1" applyBorder="1"/>
    <xf numFmtId="2" fontId="29" fillId="24" borderId="13" xfId="0" applyNumberFormat="1" applyFont="1" applyFill="1" applyBorder="1" applyAlignment="1">
      <alignment horizontal="center"/>
    </xf>
    <xf numFmtId="2" fontId="29" fillId="24" borderId="0" xfId="0" applyNumberFormat="1" applyFont="1" applyFill="1" applyBorder="1" applyAlignment="1">
      <alignment horizontal="center"/>
    </xf>
    <xf numFmtId="10" fontId="19" fillId="0" borderId="0" xfId="0" applyNumberFormat="1" applyFont="1" applyBorder="1"/>
    <xf numFmtId="1" fontId="11" fillId="0" borderId="0" xfId="0" applyNumberFormat="1" applyFont="1" applyBorder="1"/>
    <xf numFmtId="10" fontId="19" fillId="0" borderId="20" xfId="120" applyNumberFormat="1" applyFont="1" applyBorder="1"/>
    <xf numFmtId="0" fontId="19" fillId="0" borderId="0" xfId="0" applyFont="1"/>
    <xf numFmtId="15" fontId="19" fillId="0" borderId="0" xfId="0" applyNumberFormat="1" applyFont="1"/>
    <xf numFmtId="2" fontId="19" fillId="0" borderId="0" xfId="0" applyNumberFormat="1" applyFont="1"/>
    <xf numFmtId="0" fontId="25" fillId="0" borderId="0" xfId="0" applyFont="1"/>
    <xf numFmtId="167" fontId="25" fillId="0" borderId="0" xfId="120" applyNumberFormat="1" applyFont="1"/>
    <xf numFmtId="167" fontId="19" fillId="0" borderId="28" xfId="120" applyNumberFormat="1" applyFont="1" applyBorder="1"/>
    <xf numFmtId="167" fontId="19" fillId="0" borderId="0" xfId="120" applyNumberFormat="1" applyFont="1" applyBorder="1"/>
    <xf numFmtId="167" fontId="28" fillId="0" borderId="28" xfId="0" applyNumberFormat="1" applyFont="1" applyFill="1" applyBorder="1"/>
    <xf numFmtId="167" fontId="28" fillId="0" borderId="0" xfId="0" applyNumberFormat="1" applyFont="1" applyFill="1" applyBorder="1"/>
    <xf numFmtId="0" fontId="0" fillId="0" borderId="20" xfId="0" applyBorder="1"/>
    <xf numFmtId="0" fontId="0" fillId="0" borderId="0" xfId="0" applyBorder="1"/>
    <xf numFmtId="166" fontId="23" fillId="0" borderId="13" xfId="0" applyNumberFormat="1" applyFont="1" applyFill="1" applyBorder="1" applyAlignment="1">
      <alignment horizontal="center"/>
    </xf>
    <xf numFmtId="15" fontId="29" fillId="24" borderId="12" xfId="0" applyNumberFormat="1" applyFont="1" applyFill="1" applyBorder="1" applyAlignment="1">
      <alignment horizontal="center"/>
    </xf>
    <xf numFmtId="2" fontId="29" fillId="24" borderId="14" xfId="0" applyNumberFormat="1" applyFont="1" applyFill="1" applyBorder="1" applyAlignment="1">
      <alignment horizontal="center"/>
    </xf>
    <xf numFmtId="166" fontId="23" fillId="0" borderId="16" xfId="0" applyNumberFormat="1" applyFont="1" applyFill="1" applyBorder="1" applyAlignment="1">
      <alignment horizontal="center"/>
    </xf>
    <xf numFmtId="1" fontId="29" fillId="24" borderId="14" xfId="0" applyNumberFormat="1" applyFont="1" applyFill="1" applyBorder="1" applyAlignment="1">
      <alignment horizontal="center"/>
    </xf>
    <xf numFmtId="0" fontId="8" fillId="0" borderId="0" xfId="0" applyFont="1"/>
    <xf numFmtId="166" fontId="23" fillId="0" borderId="32" xfId="0" applyNumberFormat="1" applyFont="1" applyFill="1" applyBorder="1" applyAlignment="1">
      <alignment horizontal="center"/>
    </xf>
    <xf numFmtId="2" fontId="23" fillId="0" borderId="34" xfId="0" applyNumberFormat="1" applyFont="1" applyFill="1" applyBorder="1" applyAlignment="1">
      <alignment horizontal="center"/>
    </xf>
    <xf numFmtId="2" fontId="23" fillId="0" borderId="35" xfId="0" applyNumberFormat="1" applyFont="1" applyFill="1" applyBorder="1" applyAlignment="1">
      <alignment horizontal="center"/>
    </xf>
    <xf numFmtId="15" fontId="29" fillId="24" borderId="17" xfId="0" applyNumberFormat="1" applyFont="1" applyFill="1" applyBorder="1" applyAlignment="1">
      <alignment horizontal="center"/>
    </xf>
    <xf numFmtId="2" fontId="29" fillId="24" borderId="15" xfId="0" applyNumberFormat="1" applyFont="1" applyFill="1" applyBorder="1" applyAlignment="1">
      <alignment horizontal="center"/>
    </xf>
    <xf numFmtId="2" fontId="29" fillId="24" borderId="16" xfId="0" applyNumberFormat="1" applyFont="1" applyFill="1" applyBorder="1" applyAlignment="1">
      <alignment horizontal="center"/>
    </xf>
    <xf numFmtId="2" fontId="29" fillId="24" borderId="35" xfId="0" applyNumberFormat="1" applyFont="1" applyFill="1" applyBorder="1" applyAlignment="1">
      <alignment horizontal="center"/>
    </xf>
    <xf numFmtId="1" fontId="29" fillId="24" borderId="15" xfId="0" applyNumberFormat="1" applyFont="1" applyFill="1" applyBorder="1" applyAlignment="1">
      <alignment horizontal="center"/>
    </xf>
    <xf numFmtId="2" fontId="18" fillId="24" borderId="36" xfId="0" applyNumberFormat="1" applyFont="1" applyFill="1" applyBorder="1" applyAlignment="1">
      <alignment horizontal="center"/>
    </xf>
    <xf numFmtId="2" fontId="18" fillId="24" borderId="37" xfId="0" applyNumberFormat="1" applyFont="1" applyFill="1" applyBorder="1" applyAlignment="1">
      <alignment horizontal="center"/>
    </xf>
    <xf numFmtId="2" fontId="18" fillId="24" borderId="38" xfId="0" applyNumberFormat="1" applyFont="1" applyFill="1" applyBorder="1" applyAlignment="1">
      <alignment horizontal="center"/>
    </xf>
    <xf numFmtId="2" fontId="27" fillId="0" borderId="13" xfId="0" applyNumberFormat="1" applyFont="1" applyFill="1" applyBorder="1" applyAlignment="1">
      <alignment horizontal="center"/>
    </xf>
    <xf numFmtId="17" fontId="27" fillId="0" borderId="13" xfId="0" applyNumberFormat="1" applyFont="1" applyFill="1" applyBorder="1" applyAlignment="1">
      <alignment horizontal="center"/>
    </xf>
    <xf numFmtId="10" fontId="27" fillId="0" borderId="20" xfId="120" applyNumberFormat="1" applyFont="1" applyBorder="1" applyAlignment="1">
      <alignment horizontal="center"/>
    </xf>
    <xf numFmtId="10" fontId="28" fillId="0" borderId="0" xfId="0" applyNumberFormat="1" applyFont="1" applyFill="1" applyBorder="1"/>
    <xf numFmtId="10" fontId="19" fillId="0" borderId="48" xfId="0" applyNumberFormat="1" applyFont="1" applyFill="1" applyBorder="1"/>
    <xf numFmtId="10" fontId="28" fillId="0" borderId="48" xfId="0" applyNumberFormat="1" applyFont="1" applyFill="1" applyBorder="1"/>
    <xf numFmtId="0" fontId="0" fillId="0" borderId="49" xfId="0" applyBorder="1"/>
    <xf numFmtId="2" fontId="0" fillId="0" borderId="0" xfId="0" applyNumberFormat="1"/>
    <xf numFmtId="0" fontId="18" fillId="24" borderId="29" xfId="0" applyFont="1" applyFill="1" applyBorder="1" applyAlignment="1">
      <alignment horizontal="center"/>
    </xf>
    <xf numFmtId="0" fontId="19" fillId="0" borderId="26" xfId="0" applyFont="1" applyBorder="1" applyAlignment="1"/>
    <xf numFmtId="168" fontId="16" fillId="24" borderId="27" xfId="0" applyNumberFormat="1" applyFont="1" applyFill="1" applyBorder="1" applyAlignment="1">
      <alignment horizontal="center"/>
    </xf>
    <xf numFmtId="0" fontId="17" fillId="0" borderId="28" xfId="0" applyFont="1" applyBorder="1"/>
    <xf numFmtId="15" fontId="18" fillId="24" borderId="19" xfId="0" applyNumberFormat="1" applyFont="1" applyFill="1" applyBorder="1" applyAlignment="1">
      <alignment horizontal="center"/>
    </xf>
    <xf numFmtId="0" fontId="19" fillId="0" borderId="0" xfId="0" applyFont="1"/>
    <xf numFmtId="0" fontId="18" fillId="24" borderId="19" xfId="0" applyFont="1" applyFill="1" applyBorder="1" applyAlignment="1">
      <alignment horizontal="center"/>
    </xf>
    <xf numFmtId="0" fontId="20" fillId="24" borderId="19" xfId="0" applyFont="1" applyFill="1" applyBorder="1" applyAlignment="1">
      <alignment horizontal="center"/>
    </xf>
    <xf numFmtId="0" fontId="21" fillId="0" borderId="0" xfId="0" applyFont="1"/>
    <xf numFmtId="2" fontId="24" fillId="24" borderId="12" xfId="0" applyNumberFormat="1" applyFont="1" applyFill="1" applyBorder="1" applyAlignment="1">
      <alignment horizontal="center" wrapText="1"/>
    </xf>
    <xf numFmtId="2" fontId="24" fillId="24" borderId="0" xfId="0" applyNumberFormat="1" applyFont="1" applyFill="1" applyBorder="1" applyAlignment="1">
      <alignment horizontal="center" wrapText="1"/>
    </xf>
    <xf numFmtId="2" fontId="24" fillId="24" borderId="13" xfId="0" applyNumberFormat="1" applyFont="1" applyFill="1" applyBorder="1" applyAlignment="1">
      <alignment horizontal="center" wrapText="1"/>
    </xf>
    <xf numFmtId="2" fontId="50" fillId="24" borderId="27" xfId="0" applyNumberFormat="1" applyFont="1" applyFill="1" applyBorder="1" applyAlignment="1">
      <alignment horizontal="center" wrapText="1"/>
    </xf>
    <xf numFmtId="2" fontId="50" fillId="24" borderId="28" xfId="0" applyNumberFormat="1" applyFont="1" applyFill="1" applyBorder="1" applyAlignment="1">
      <alignment horizontal="center" wrapText="1"/>
    </xf>
    <xf numFmtId="2" fontId="50" fillId="24" borderId="24" xfId="0" applyNumberFormat="1" applyFont="1" applyFill="1" applyBorder="1" applyAlignment="1">
      <alignment horizontal="center" wrapText="1"/>
    </xf>
    <xf numFmtId="2" fontId="50" fillId="24" borderId="19" xfId="0" applyNumberFormat="1" applyFont="1" applyFill="1" applyBorder="1" applyAlignment="1">
      <alignment horizontal="center" wrapText="1"/>
    </xf>
    <xf numFmtId="2" fontId="50" fillId="24" borderId="0" xfId="0" applyNumberFormat="1" applyFont="1" applyFill="1" applyBorder="1" applyAlignment="1">
      <alignment horizontal="center" wrapText="1"/>
    </xf>
    <xf numFmtId="2" fontId="50" fillId="24" borderId="20" xfId="0" applyNumberFormat="1" applyFont="1" applyFill="1" applyBorder="1" applyAlignment="1">
      <alignment horizontal="center" wrapText="1"/>
    </xf>
    <xf numFmtId="2" fontId="50" fillId="24" borderId="29" xfId="0" applyNumberFormat="1" applyFont="1" applyFill="1" applyBorder="1" applyAlignment="1">
      <alignment horizontal="center" wrapText="1"/>
    </xf>
    <xf numFmtId="2" fontId="50" fillId="24" borderId="26" xfId="0" applyNumberFormat="1" applyFont="1" applyFill="1" applyBorder="1" applyAlignment="1">
      <alignment horizontal="center" wrapText="1"/>
    </xf>
    <xf numFmtId="2" fontId="50" fillId="24" borderId="21" xfId="0" applyNumberFormat="1" applyFont="1" applyFill="1" applyBorder="1" applyAlignment="1">
      <alignment horizontal="center" wrapText="1"/>
    </xf>
  </cellXfs>
  <cellStyles count="327">
    <cellStyle name="20% - Accent1 2" xfId="1"/>
    <cellStyle name="20% - Accent1 2 2" xfId="297"/>
    <cellStyle name="20% - Accent1 3" xfId="283"/>
    <cellStyle name="20% - Accent2 2" xfId="2"/>
    <cellStyle name="20% - Accent2 2 2" xfId="293"/>
    <cellStyle name="20% - Accent2 3" xfId="282"/>
    <cellStyle name="20% - Accent3 2" xfId="3"/>
    <cellStyle name="20% - Accent3 2 2" xfId="325"/>
    <cellStyle name="20% - Accent3 3" xfId="281"/>
    <cellStyle name="20% - Accent4 2" xfId="4"/>
    <cellStyle name="20% - Accent4 2 2" xfId="289"/>
    <cellStyle name="20% - Accent4 3" xfId="279"/>
    <cellStyle name="20% - Accent5 2" xfId="5"/>
    <cellStyle name="20% - Accent5 2 2" xfId="314"/>
    <cellStyle name="20% - Accent5 3" xfId="278"/>
    <cellStyle name="20% - Accent6 2" xfId="6"/>
    <cellStyle name="20% - Accent6 2 2" xfId="286"/>
    <cellStyle name="20% - Accent6 3" xfId="277"/>
    <cellStyle name="20% - Accent6 4" xfId="304"/>
    <cellStyle name="40% - Accent1 2" xfId="7"/>
    <cellStyle name="40% - Accent1 2 2" xfId="296"/>
    <cellStyle name="40% - Accent1 3" xfId="310"/>
    <cellStyle name="40% - Accent2 2" xfId="8"/>
    <cellStyle name="40% - Accent2 2 2" xfId="292"/>
    <cellStyle name="40% - Accent2 3" xfId="309"/>
    <cellStyle name="40% - Accent3 2" xfId="9"/>
    <cellStyle name="40% - Accent3 2 2" xfId="324"/>
    <cellStyle name="40% - Accent3 3" xfId="280"/>
    <cellStyle name="40% - Accent4 2" xfId="10"/>
    <cellStyle name="40% - Accent4 2 2" xfId="326"/>
    <cellStyle name="40% - Accent4 3" xfId="305"/>
    <cellStyle name="40% - Accent5 2" xfId="11"/>
    <cellStyle name="40% - Accent5 2 2" xfId="320"/>
    <cellStyle name="40% - Accent5 3" xfId="307"/>
    <cellStyle name="40% - Accent6 2" xfId="12"/>
    <cellStyle name="40% - Accent6 2 2" xfId="285"/>
    <cellStyle name="40% - Accent6 3" xfId="306"/>
    <cellStyle name="60% - Accent1 2" xfId="13"/>
    <cellStyle name="60% - Accent1 2 2" xfId="295"/>
    <cellStyle name="60% - Accent2 2" xfId="14"/>
    <cellStyle name="60% - Accent2 2 2" xfId="291"/>
    <cellStyle name="60% - Accent3 2" xfId="15"/>
    <cellStyle name="60% - Accent3 2 2" xfId="322"/>
    <cellStyle name="60% - Accent4 2" xfId="16"/>
    <cellStyle name="60% - Accent4 2 2" xfId="323"/>
    <cellStyle name="60% - Accent5 2" xfId="17"/>
    <cellStyle name="60% - Accent5 2 2" xfId="288"/>
    <cellStyle name="60% - Accent6 2" xfId="18"/>
    <cellStyle name="60% - Accent6 2 2" xfId="312"/>
    <cellStyle name="Accent1 2" xfId="19"/>
    <cellStyle name="Accent1 2 2" xfId="298"/>
    <cellStyle name="Accent2 2" xfId="20"/>
    <cellStyle name="Accent2 2 2" xfId="294"/>
    <cellStyle name="Accent3 2" xfId="21"/>
    <cellStyle name="Accent3 2 2" xfId="290"/>
    <cellStyle name="Accent4 2" xfId="22"/>
    <cellStyle name="Accent4 2 2" xfId="321"/>
    <cellStyle name="Accent5 2" xfId="23"/>
    <cellStyle name="Accent5 2 2" xfId="313"/>
    <cellStyle name="Accent6 2" xfId="24"/>
    <cellStyle name="Accent6 2 2" xfId="287"/>
    <cellStyle name="Bad" xfId="266" builtinId="27" customBuiltin="1"/>
    <cellStyle name="Bad 2" xfId="25"/>
    <cellStyle name="Calculation" xfId="270" builtinId="22" customBuiltin="1"/>
    <cellStyle name="Calculation 2" xfId="26"/>
    <cellStyle name="Check Cell" xfId="272" builtinId="23" customBuiltin="1"/>
    <cellStyle name="Check Cell 2" xfId="27"/>
    <cellStyle name="Comma 2" xfId="146"/>
    <cellStyle name="Comma 2 2" xfId="28"/>
    <cellStyle name="Comma 2 2 2" xfId="29"/>
    <cellStyle name="Comma 2 2 2 2" xfId="186"/>
    <cellStyle name="Comma 2 2 3" xfId="147"/>
    <cellStyle name="Comma 2 3" xfId="30"/>
    <cellStyle name="Comma 2 3 2" xfId="31"/>
    <cellStyle name="Comma 2 3 2 2" xfId="187"/>
    <cellStyle name="Comma 2 3 3" xfId="148"/>
    <cellStyle name="Comma 2 4" xfId="32"/>
    <cellStyle name="Comma 2 5" xfId="33"/>
    <cellStyle name="Comma 2 5 2" xfId="185"/>
    <cellStyle name="Comma 2 6" xfId="34"/>
    <cellStyle name="Comma 2_VWEF" xfId="149"/>
    <cellStyle name="Comma 3" xfId="35"/>
    <cellStyle name="Comma 3 2" xfId="36"/>
    <cellStyle name="Comma 3 2 2" xfId="37"/>
    <cellStyle name="Comma 3 2 2 2" xfId="189"/>
    <cellStyle name="Comma 3 2 3" xfId="151"/>
    <cellStyle name="Comma 3 3" xfId="38"/>
    <cellStyle name="Comma 3 3 2" xfId="39"/>
    <cellStyle name="Comma 3 3 2 2" xfId="190"/>
    <cellStyle name="Comma 3 3 3" xfId="152"/>
    <cellStyle name="Comma 3 4" xfId="40"/>
    <cellStyle name="Comma 3 4 2" xfId="41"/>
    <cellStyle name="Comma 3 4 2 2" xfId="191"/>
    <cellStyle name="Comma 3 4 3" xfId="153"/>
    <cellStyle name="Comma 3 5" xfId="42"/>
    <cellStyle name="Comma 3 5 2" xfId="188"/>
    <cellStyle name="Comma 3 6" xfId="150"/>
    <cellStyle name="Comma 4" xfId="43"/>
    <cellStyle name="Comma 4 2" xfId="44"/>
    <cellStyle name="Comma 4 2 2" xfId="192"/>
    <cellStyle name="Comma 4 3" xfId="154"/>
    <cellStyle name="Comma 5" xfId="45"/>
    <cellStyle name="Comma 6" xfId="46"/>
    <cellStyle name="Comma 6 2" xfId="47"/>
    <cellStyle name="Comma 6 2 2" xfId="48"/>
    <cellStyle name="Comma 6 2 2 2" xfId="49"/>
    <cellStyle name="Comma 6 2 2 2 2" xfId="220"/>
    <cellStyle name="Comma 6 2 2 3" xfId="157"/>
    <cellStyle name="Comma 6 2 3" xfId="50"/>
    <cellStyle name="Comma 6 2 3 2" xfId="194"/>
    <cellStyle name="Comma 6 2 4" xfId="156"/>
    <cellStyle name="Comma 6 3" xfId="51"/>
    <cellStyle name="Comma 6 3 2" xfId="193"/>
    <cellStyle name="Comma 6 4" xfId="155"/>
    <cellStyle name="Comma 7" xfId="52"/>
    <cellStyle name="Comma 7 2" xfId="284"/>
    <cellStyle name="Comma 8" xfId="53"/>
    <cellStyle name="Comma 8 2" xfId="276"/>
    <cellStyle name="Comma 9" xfId="145"/>
    <cellStyle name="Currency 2" xfId="54"/>
    <cellStyle name="Currency 3" xfId="55"/>
    <cellStyle name="Currency 4" xfId="56"/>
    <cellStyle name="Currency 5" xfId="57"/>
    <cellStyle name="Currency 6" xfId="58"/>
    <cellStyle name="Currency 7" xfId="59"/>
    <cellStyle name="Currency 8" xfId="229"/>
    <cellStyle name="Explanatory Text" xfId="274" builtinId="53" customBuiltin="1"/>
    <cellStyle name="Explanatory Text 2" xfId="60"/>
    <cellStyle name="Good" xfId="265" builtinId="26" customBuiltin="1"/>
    <cellStyle name="Good 2" xfId="61"/>
    <cellStyle name="Heading 1" xfId="261" builtinId="16" customBuiltin="1"/>
    <cellStyle name="Heading 1 2" xfId="62"/>
    <cellStyle name="Heading 2" xfId="262" builtinId="17" customBuiltin="1"/>
    <cellStyle name="Heading 2 2" xfId="63"/>
    <cellStyle name="Heading 3" xfId="263" builtinId="18" customBuiltin="1"/>
    <cellStyle name="Heading 3 2" xfId="64"/>
    <cellStyle name="Heading 4" xfId="264" builtinId="19" customBuiltin="1"/>
    <cellStyle name="Heading 4 2" xfId="65"/>
    <cellStyle name="Input" xfId="268" builtinId="20" customBuiltin="1"/>
    <cellStyle name="Input 2" xfId="66"/>
    <cellStyle name="Linked Cell" xfId="271" builtinId="24" customBuiltin="1"/>
    <cellStyle name="Linked Cell 2" xfId="67"/>
    <cellStyle name="Neutral" xfId="267" builtinId="28" customBuiltin="1"/>
    <cellStyle name="Neutral 2" xfId="68"/>
    <cellStyle name="Normal" xfId="0" builtinId="0"/>
    <cellStyle name="Normal 10" xfId="69"/>
    <cellStyle name="Normal 11" xfId="70"/>
    <cellStyle name="Normal 11 2" xfId="71"/>
    <cellStyle name="Normal 11 2 2" xfId="221"/>
    <cellStyle name="Normal 11 3" xfId="72"/>
    <cellStyle name="Normal 11 3 2" xfId="218"/>
    <cellStyle name="Normal 11 4" xfId="158"/>
    <cellStyle name="Normal 12" xfId="73"/>
    <cellStyle name="Normal 12 2" xfId="219"/>
    <cellStyle name="Normal 13" xfId="74"/>
    <cellStyle name="Normal 13 2" xfId="227"/>
    <cellStyle name="Normal 14" xfId="75"/>
    <cellStyle name="Normal 14 2" xfId="228"/>
    <cellStyle name="Normal 15" xfId="76"/>
    <cellStyle name="Normal 16" xfId="77"/>
    <cellStyle name="Normal 17" xfId="78"/>
    <cellStyle name="Normal 18" xfId="79"/>
    <cellStyle name="Normal 19" xfId="80"/>
    <cellStyle name="Normal 19 2" xfId="184"/>
    <cellStyle name="Normal 2" xfId="81"/>
    <cellStyle name="Normal 2 2" xfId="82"/>
    <cellStyle name="Normal 2 2 2" xfId="83"/>
    <cellStyle name="Normal 2 2 2 2" xfId="196"/>
    <cellStyle name="Normal 2 2 3" xfId="160"/>
    <cellStyle name="Normal 2 3" xfId="84"/>
    <cellStyle name="Normal 2 3 2" xfId="85"/>
    <cellStyle name="Normal 2 3 2 2" xfId="197"/>
    <cellStyle name="Normal 2 3 3" xfId="161"/>
    <cellStyle name="Normal 2 4" xfId="86"/>
    <cellStyle name="Normal 2 4 2" xfId="303"/>
    <cellStyle name="Normal 2 5" xfId="87"/>
    <cellStyle name="Normal 2 5 2" xfId="88"/>
    <cellStyle name="Normal 2 5 2 2" xfId="198"/>
    <cellStyle name="Normal 2 5 2 3" xfId="233"/>
    <cellStyle name="Normal 2 5 2 4" xfId="239"/>
    <cellStyle name="Normal 2 5 2 5" xfId="245"/>
    <cellStyle name="Normal 2 5 2 6" xfId="251"/>
    <cellStyle name="Normal 2 5 2 7" xfId="257"/>
    <cellStyle name="Normal 2 5 2 8" xfId="316"/>
    <cellStyle name="Normal 2 5 3" xfId="162"/>
    <cellStyle name="Normal 2 5 4" xfId="230"/>
    <cellStyle name="Normal 2 5 5" xfId="236"/>
    <cellStyle name="Normal 2 5 6" xfId="242"/>
    <cellStyle name="Normal 2 5 7" xfId="248"/>
    <cellStyle name="Normal 2 5 8" xfId="254"/>
    <cellStyle name="Normal 2 5 9" xfId="300"/>
    <cellStyle name="Normal 2 6" xfId="89"/>
    <cellStyle name="Normal 2 7" xfId="90"/>
    <cellStyle name="Normal 2 7 2" xfId="195"/>
    <cellStyle name="Normal 2 8" xfId="159"/>
    <cellStyle name="Normal 2_VGIF" xfId="91"/>
    <cellStyle name="Normal 20" xfId="92"/>
    <cellStyle name="Normal 3" xfId="93"/>
    <cellStyle name="Normal 3 10" xfId="255"/>
    <cellStyle name="Normal 3 11" xfId="301"/>
    <cellStyle name="Normal 3 2" xfId="94"/>
    <cellStyle name="Normal 3 2 2" xfId="95"/>
    <cellStyle name="Normal 3 2 2 2" xfId="200"/>
    <cellStyle name="Normal 3 2 2 3" xfId="235"/>
    <cellStyle name="Normal 3 2 2 4" xfId="241"/>
    <cellStyle name="Normal 3 2 2 5" xfId="247"/>
    <cellStyle name="Normal 3 2 2 6" xfId="253"/>
    <cellStyle name="Normal 3 2 2 7" xfId="259"/>
    <cellStyle name="Normal 3 2 2 8" xfId="318"/>
    <cellStyle name="Normal 3 2 3" xfId="164"/>
    <cellStyle name="Normal 3 2 4" xfId="232"/>
    <cellStyle name="Normal 3 2 5" xfId="238"/>
    <cellStyle name="Normal 3 2 6" xfId="244"/>
    <cellStyle name="Normal 3 2 7" xfId="250"/>
    <cellStyle name="Normal 3 2 8" xfId="256"/>
    <cellStyle name="Normal 3 2 9" xfId="302"/>
    <cellStyle name="Normal 3 3" xfId="96"/>
    <cellStyle name="Normal 3 4" xfId="97"/>
    <cellStyle name="Normal 3 4 2" xfId="199"/>
    <cellStyle name="Normal 3 4 3" xfId="234"/>
    <cellStyle name="Normal 3 4 4" xfId="240"/>
    <cellStyle name="Normal 3 4 5" xfId="246"/>
    <cellStyle name="Normal 3 4 6" xfId="252"/>
    <cellStyle name="Normal 3 4 7" xfId="258"/>
    <cellStyle name="Normal 3 4 8" xfId="317"/>
    <cellStyle name="Normal 3 5" xfId="163"/>
    <cellStyle name="Normal 3 6" xfId="231"/>
    <cellStyle name="Normal 3 7" xfId="237"/>
    <cellStyle name="Normal 3 8" xfId="243"/>
    <cellStyle name="Normal 3 9" xfId="249"/>
    <cellStyle name="Normal 4" xfId="98"/>
    <cellStyle name="Normal 4 2" xfId="99"/>
    <cellStyle name="Normal 4 2 2" xfId="201"/>
    <cellStyle name="Normal 4 3" xfId="165"/>
    <cellStyle name="Normal 5" xfId="100"/>
    <cellStyle name="Normal 5 2" xfId="101"/>
    <cellStyle name="Normal 5 2 2" xfId="222"/>
    <cellStyle name="Normal 5 3" xfId="102"/>
    <cellStyle name="Normal 5 3 2" xfId="202"/>
    <cellStyle name="Normal 5 4" xfId="166"/>
    <cellStyle name="Normal 5 5" xfId="319"/>
    <cellStyle name="Normal 6" xfId="103"/>
    <cellStyle name="Normal 6 2" xfId="104"/>
    <cellStyle name="Normal 6 2 2" xfId="223"/>
    <cellStyle name="Normal 6 3" xfId="105"/>
    <cellStyle name="Normal 6 3 2" xfId="203"/>
    <cellStyle name="Normal 6 4" xfId="167"/>
    <cellStyle name="Normal 6 5" xfId="315"/>
    <cellStyle name="Normal 7" xfId="106"/>
    <cellStyle name="Normal 7 2" xfId="107"/>
    <cellStyle name="Normal 7 2 2" xfId="224"/>
    <cellStyle name="Normal 7 3" xfId="108"/>
    <cellStyle name="Normal 7 3 2" xfId="204"/>
    <cellStyle name="Normal 7 4" xfId="168"/>
    <cellStyle name="Normal 7 5" xfId="308"/>
    <cellStyle name="Normal 8" xfId="109"/>
    <cellStyle name="Normal 8 2" xfId="110"/>
    <cellStyle name="Normal 8 2 2" xfId="205"/>
    <cellStyle name="Normal 8 3" xfId="169"/>
    <cellStyle name="Normal 9" xfId="111"/>
    <cellStyle name="Normal 9 2" xfId="112"/>
    <cellStyle name="Normal 9 2 2" xfId="206"/>
    <cellStyle name="Normal 9 3" xfId="170"/>
    <cellStyle name="Note 2" xfId="113"/>
    <cellStyle name="Note 2 2" xfId="114"/>
    <cellStyle name="Note 2 2 2" xfId="115"/>
    <cellStyle name="Note 2 2 2 2" xfId="208"/>
    <cellStyle name="Note 2 2 3" xfId="172"/>
    <cellStyle name="Note 2 3" xfId="116"/>
    <cellStyle name="Note 2 3 2" xfId="117"/>
    <cellStyle name="Note 2 3 2 2" xfId="225"/>
    <cellStyle name="Note 2 3 3" xfId="173"/>
    <cellStyle name="Note 2 4" xfId="118"/>
    <cellStyle name="Note 2 4 2" xfId="207"/>
    <cellStyle name="Note 2 5" xfId="171"/>
    <cellStyle name="Note 2 6" xfId="311"/>
    <cellStyle name="Note 3" xfId="299"/>
    <cellStyle name="Output" xfId="269" builtinId="21" customBuiltin="1"/>
    <cellStyle name="Output 2" xfId="119"/>
    <cellStyle name="Percent" xfId="120" builtinId="5"/>
    <cellStyle name="Percent 2" xfId="174"/>
    <cellStyle name="Percent 2 2" xfId="121"/>
    <cellStyle name="Percent 2 2 2" xfId="122"/>
    <cellStyle name="Percent 2 2 2 2" xfId="210"/>
    <cellStyle name="Percent 2 2 3" xfId="175"/>
    <cellStyle name="Percent 2 3" xfId="123"/>
    <cellStyle name="Percent 2 3 2" xfId="209"/>
    <cellStyle name="Percent 2 4" xfId="124"/>
    <cellStyle name="Percent 3" xfId="125"/>
    <cellStyle name="Percent 3 2" xfId="126"/>
    <cellStyle name="Percent 3 2 2" xfId="127"/>
    <cellStyle name="Percent 3 2 2 2" xfId="212"/>
    <cellStyle name="Percent 3 2 3" xfId="177"/>
    <cellStyle name="Percent 3 3" xfId="128"/>
    <cellStyle name="Percent 3 3 2" xfId="129"/>
    <cellStyle name="Percent 3 3 2 2" xfId="213"/>
    <cellStyle name="Percent 3 3 3" xfId="178"/>
    <cellStyle name="Percent 3 4" xfId="130"/>
    <cellStyle name="Percent 3 4 2" xfId="131"/>
    <cellStyle name="Percent 3 4 2 2" xfId="214"/>
    <cellStyle name="Percent 3 4 3" xfId="179"/>
    <cellStyle name="Percent 3 5" xfId="132"/>
    <cellStyle name="Percent 3 5 2" xfId="211"/>
    <cellStyle name="Percent 3 6" xfId="176"/>
    <cellStyle name="Percent 4" xfId="133"/>
    <cellStyle name="Percent 4 2" xfId="134"/>
    <cellStyle name="Percent 4 2 2" xfId="215"/>
    <cellStyle name="Percent 4 3" xfId="180"/>
    <cellStyle name="Percent 5" xfId="135"/>
    <cellStyle name="Percent 5 2" xfId="136"/>
    <cellStyle name="Percent 5 2 2" xfId="137"/>
    <cellStyle name="Percent 5 2 2 2" xfId="138"/>
    <cellStyle name="Percent 5 2 2 2 2" xfId="226"/>
    <cellStyle name="Percent 5 2 2 3" xfId="183"/>
    <cellStyle name="Percent 5 2 3" xfId="139"/>
    <cellStyle name="Percent 5 2 3 2" xfId="217"/>
    <cellStyle name="Percent 5 2 4" xfId="182"/>
    <cellStyle name="Percent 5 3" xfId="140"/>
    <cellStyle name="Percent 5 3 2" xfId="216"/>
    <cellStyle name="Percent 5 4" xfId="181"/>
    <cellStyle name="Percent 6" xfId="141"/>
    <cellStyle name="Title" xfId="260" builtinId="15" customBuiltin="1"/>
    <cellStyle name="Title 2" xfId="142"/>
    <cellStyle name="Total" xfId="275" builtinId="25" customBuiltin="1"/>
    <cellStyle name="Total 2" xfId="143"/>
    <cellStyle name="Warning Text" xfId="273" builtinId="11" customBuiltin="1"/>
    <cellStyle name="Warning Text 2" xfId="1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52"/>
  <sheetViews>
    <sheetView tabSelected="1" workbookViewId="0">
      <selection activeCell="B15" sqref="B15"/>
    </sheetView>
  </sheetViews>
  <sheetFormatPr defaultColWidth="9.140625" defaultRowHeight="12.75"/>
  <cols>
    <col min="1" max="1" width="20.42578125" style="3" customWidth="1"/>
    <col min="2" max="4" width="20.42578125" style="2" customWidth="1"/>
    <col min="5" max="5" width="26.5703125" style="2" bestFit="1" customWidth="1"/>
    <col min="6" max="6" width="20.42578125" style="12" customWidth="1"/>
    <col min="7" max="7" width="20.42578125" style="2" customWidth="1"/>
    <col min="8" max="8" width="17.85546875" style="1" hidden="1" customWidth="1"/>
    <col min="9" max="10" width="9.28515625" style="1" customWidth="1"/>
    <col min="11" max="66" width="9.28515625" style="1" bestFit="1" customWidth="1"/>
    <col min="67" max="16384" width="9.140625" style="1"/>
  </cols>
  <sheetData>
    <row r="1" spans="1:10" ht="23.25">
      <c r="A1" s="138" t="s">
        <v>10</v>
      </c>
      <c r="B1" s="139"/>
      <c r="C1" s="139"/>
      <c r="D1" s="139"/>
      <c r="E1" s="139"/>
      <c r="F1" s="139"/>
      <c r="G1" s="139"/>
      <c r="H1" s="27"/>
      <c r="I1" s="4"/>
      <c r="J1" s="4"/>
    </row>
    <row r="2" spans="1:10">
      <c r="A2" s="140" t="s">
        <v>1</v>
      </c>
      <c r="B2" s="141"/>
      <c r="C2" s="141"/>
      <c r="D2" s="141"/>
      <c r="E2" s="141"/>
      <c r="F2" s="141"/>
      <c r="G2" s="141"/>
      <c r="H2" s="27"/>
      <c r="I2" s="4"/>
      <c r="J2" s="4"/>
    </row>
    <row r="3" spans="1:10">
      <c r="A3" s="142"/>
      <c r="B3" s="141"/>
      <c r="C3" s="141"/>
      <c r="D3" s="141"/>
      <c r="E3" s="141"/>
      <c r="F3" s="141"/>
      <c r="G3" s="141"/>
      <c r="H3" s="27"/>
      <c r="I3" s="4"/>
      <c r="J3" s="4"/>
    </row>
    <row r="4" spans="1:10">
      <c r="A4" s="143" t="s">
        <v>9</v>
      </c>
      <c r="B4" s="144"/>
      <c r="C4" s="144"/>
      <c r="D4" s="144"/>
      <c r="E4" s="144"/>
      <c r="F4" s="144"/>
      <c r="G4" s="144"/>
      <c r="H4" s="27"/>
      <c r="I4" s="4"/>
      <c r="J4" s="4"/>
    </row>
    <row r="5" spans="1:10" ht="10.5" customHeight="1" thickBot="1">
      <c r="A5" s="136"/>
      <c r="B5" s="137"/>
      <c r="C5" s="137"/>
      <c r="D5" s="137"/>
      <c r="E5" s="137"/>
      <c r="F5" s="137"/>
      <c r="G5" s="137"/>
      <c r="H5" s="27"/>
      <c r="I5" s="4"/>
      <c r="J5" s="4"/>
    </row>
    <row r="6" spans="1:10" ht="12.75" hidden="1" customHeight="1">
      <c r="A6" s="9"/>
      <c r="B6" s="61"/>
      <c r="C6" s="10"/>
      <c r="D6" s="10"/>
      <c r="E6" s="8"/>
      <c r="F6" s="11"/>
      <c r="G6" s="10"/>
      <c r="H6" s="5"/>
      <c r="I6" s="4"/>
      <c r="J6" s="4"/>
    </row>
    <row r="7" spans="1:10" ht="16.5" customHeight="1">
      <c r="A7" s="25"/>
      <c r="B7" s="62"/>
      <c r="C7" s="26"/>
      <c r="D7" s="26"/>
      <c r="E7" s="27" t="s">
        <v>31</v>
      </c>
      <c r="F7" s="28" t="s">
        <v>5</v>
      </c>
      <c r="G7" s="26" t="s">
        <v>7</v>
      </c>
      <c r="H7" s="27" t="s">
        <v>31</v>
      </c>
      <c r="I7" s="4"/>
      <c r="J7" s="4"/>
    </row>
    <row r="8" spans="1:10" ht="17.25" customHeight="1">
      <c r="A8" s="112" t="s">
        <v>0</v>
      </c>
      <c r="B8" s="113" t="s">
        <v>2</v>
      </c>
      <c r="C8" s="95" t="s">
        <v>3</v>
      </c>
      <c r="D8" s="95" t="s">
        <v>4</v>
      </c>
      <c r="E8" s="96" t="s">
        <v>33</v>
      </c>
      <c r="F8" s="115" t="s">
        <v>6</v>
      </c>
      <c r="G8" s="95" t="s">
        <v>8</v>
      </c>
      <c r="H8" s="96" t="s">
        <v>32</v>
      </c>
      <c r="I8" s="4"/>
      <c r="J8" s="4"/>
    </row>
    <row r="9" spans="1:10" ht="17.25" customHeight="1">
      <c r="A9" s="120"/>
      <c r="B9" s="121"/>
      <c r="C9" s="122"/>
      <c r="D9" s="122"/>
      <c r="E9" s="123"/>
      <c r="F9" s="124"/>
      <c r="G9" s="122"/>
      <c r="H9" s="96"/>
      <c r="I9" s="4"/>
      <c r="J9" s="4"/>
    </row>
    <row r="10" spans="1:10" ht="16.5" customHeight="1">
      <c r="A10" s="35">
        <v>44006</v>
      </c>
      <c r="B10" s="68">
        <f>14682107.98/80031.43</f>
        <v>183.45427515164982</v>
      </c>
      <c r="C10" s="114">
        <f t="shared" ref="C10" si="0">0.997*B10</f>
        <v>182.90391232619487</v>
      </c>
      <c r="D10" s="114">
        <f t="shared" ref="D10" si="1">1.003*B10</f>
        <v>184.00463797710475</v>
      </c>
      <c r="E10" s="119">
        <f>9334.82/4893.543*100</f>
        <v>190.75790281192994</v>
      </c>
      <c r="F10" s="34">
        <v>80031.429999999993</v>
      </c>
      <c r="G10" s="32">
        <f t="shared" ref="G10" si="2">F10*B10/1000000</f>
        <v>14.68210798</v>
      </c>
      <c r="H10" s="91"/>
      <c r="I10" s="4"/>
      <c r="J10" s="4"/>
    </row>
    <row r="11" spans="1:10" ht="16.5" customHeight="1">
      <c r="A11" s="35">
        <v>43999</v>
      </c>
      <c r="B11" s="68">
        <f>14682278.47/80031.43</f>
        <v>183.45640543971291</v>
      </c>
      <c r="C11" s="114">
        <f t="shared" ref="C11" si="3">0.997*B11</f>
        <v>182.90603622339378</v>
      </c>
      <c r="D11" s="114">
        <f t="shared" ref="D11" si="4">1.003*B11</f>
        <v>184.00677465603204</v>
      </c>
      <c r="E11" s="119">
        <f>9493.03/4893.543*100</f>
        <v>193.99093867163324</v>
      </c>
      <c r="F11" s="34">
        <v>80031.429999999993</v>
      </c>
      <c r="G11" s="32">
        <f t="shared" ref="G11:G36" si="5">F11*B11/1000000</f>
        <v>14.682278470000002</v>
      </c>
      <c r="H11" s="91"/>
      <c r="I11" s="4"/>
      <c r="J11" s="4"/>
    </row>
    <row r="12" spans="1:10" ht="16.5" customHeight="1">
      <c r="A12" s="35">
        <v>43992</v>
      </c>
      <c r="B12" s="68">
        <v>188.68101384219725</v>
      </c>
      <c r="C12" s="114">
        <f t="shared" ref="C12" si="6">0.997*B12</f>
        <v>188.11497080067065</v>
      </c>
      <c r="D12" s="114">
        <f t="shared" ref="D12" si="7">1.003*B12</f>
        <v>189.24705688372381</v>
      </c>
      <c r="E12" s="119">
        <f>9700.808/4893.543*100</f>
        <v>198.23690115730057</v>
      </c>
      <c r="F12" s="34">
        <v>110251.56657997397</v>
      </c>
      <c r="G12" s="32">
        <f t="shared" si="5"/>
        <v>20.802377359999998</v>
      </c>
      <c r="H12" s="91"/>
      <c r="I12" s="4"/>
      <c r="J12" s="4"/>
    </row>
    <row r="13" spans="1:10" ht="16.5" customHeight="1">
      <c r="A13" s="35">
        <v>43985</v>
      </c>
      <c r="B13" s="68">
        <v>186.56127212009685</v>
      </c>
      <c r="C13" s="114">
        <f t="shared" ref="C13" si="8">0.997*B13</f>
        <v>186.00158830373655</v>
      </c>
      <c r="D13" s="114">
        <f t="shared" ref="D13" si="9">1.003*B13</f>
        <v>187.12095593645711</v>
      </c>
      <c r="E13" s="119">
        <f>9506.438/4893.543*100</f>
        <v>194.26493238130328</v>
      </c>
      <c r="F13" s="34">
        <v>131692.62907997397</v>
      </c>
      <c r="G13" s="32">
        <f t="shared" si="5"/>
        <v>24.568744410000001</v>
      </c>
      <c r="H13" s="91"/>
      <c r="I13" s="4"/>
      <c r="J13" s="4"/>
    </row>
    <row r="14" spans="1:10" ht="16.5" customHeight="1">
      <c r="A14" s="35">
        <v>43978</v>
      </c>
      <c r="B14" s="68">
        <v>178.55981252729893</v>
      </c>
      <c r="C14" s="114">
        <f t="shared" ref="C14" si="10">0.997*B14</f>
        <v>178.02413308971703</v>
      </c>
      <c r="D14" s="114">
        <f t="shared" ref="D14" si="11">1.003*B14</f>
        <v>179.09549196488081</v>
      </c>
      <c r="E14" s="119">
        <f>9136.011/4893.543*100</f>
        <v>186.69522266382458</v>
      </c>
      <c r="F14" s="34">
        <v>134405.78817997396</v>
      </c>
      <c r="G14" s="32">
        <f t="shared" si="5"/>
        <v>23.999472340000001</v>
      </c>
      <c r="H14" s="91"/>
      <c r="I14" s="4"/>
      <c r="J14" s="4"/>
    </row>
    <row r="15" spans="1:10" ht="16.5" customHeight="1">
      <c r="A15" s="35">
        <v>43971</v>
      </c>
      <c r="B15" s="68">
        <v>177.38472912011824</v>
      </c>
      <c r="C15" s="114">
        <f t="shared" ref="C15" si="12">0.997*B15</f>
        <v>176.85257493275788</v>
      </c>
      <c r="D15" s="114">
        <f t="shared" ref="D15" si="13">1.003*B15</f>
        <v>177.91688330747857</v>
      </c>
      <c r="E15" s="119">
        <f>8941.512/4893.543*100</f>
        <v>182.7206177609965</v>
      </c>
      <c r="F15" s="34">
        <v>142858.43017997395</v>
      </c>
      <c r="G15" s="32">
        <f t="shared" si="5"/>
        <v>25.34090394</v>
      </c>
      <c r="H15" s="91"/>
      <c r="I15" s="4"/>
      <c r="J15" s="4"/>
    </row>
    <row r="16" spans="1:10" ht="16.5" customHeight="1">
      <c r="A16" s="35">
        <v>43964</v>
      </c>
      <c r="B16" s="68">
        <v>173.65597847147032</v>
      </c>
      <c r="C16" s="114">
        <f t="shared" ref="C16" si="14">0.997*B16</f>
        <v>173.13501053605592</v>
      </c>
      <c r="D16" s="114">
        <f t="shared" ref="D16" si="15">1.003*B16</f>
        <v>174.17694640688472</v>
      </c>
      <c r="E16" s="119">
        <f>8534.666/4893.543*100</f>
        <v>174.40668243847043</v>
      </c>
      <c r="F16" s="34">
        <v>143329.50767997396</v>
      </c>
      <c r="G16" s="32">
        <f t="shared" si="5"/>
        <v>24.890025899999998</v>
      </c>
      <c r="H16" s="91"/>
      <c r="I16" s="4"/>
      <c r="J16" s="4"/>
    </row>
    <row r="17" spans="1:10" ht="16.5" customHeight="1">
      <c r="A17" s="35">
        <v>43957</v>
      </c>
      <c r="B17" s="68">
        <v>169.5709240180401</v>
      </c>
      <c r="C17" s="114">
        <f t="shared" ref="C17" si="16">0.997*B17</f>
        <v>169.06221124598599</v>
      </c>
      <c r="D17" s="114">
        <f t="shared" ref="D17" si="17">1.003*B17</f>
        <v>170.07963679009421</v>
      </c>
      <c r="E17" s="119">
        <f>8566.396/4893.543*100</f>
        <v>175.05508789848176</v>
      </c>
      <c r="F17" s="34">
        <v>149930.25547997394</v>
      </c>
      <c r="G17" s="32">
        <f t="shared" si="5"/>
        <v>25.423811960000002</v>
      </c>
      <c r="H17" s="91"/>
      <c r="I17" s="4"/>
      <c r="J17" s="4"/>
    </row>
    <row r="18" spans="1:10" ht="16.5" customHeight="1">
      <c r="A18" s="35">
        <v>43950</v>
      </c>
      <c r="B18" s="68">
        <v>173.40501</v>
      </c>
      <c r="C18" s="114">
        <f t="shared" ref="C18" si="18">0.997*B18</f>
        <v>172.88479497</v>
      </c>
      <c r="D18" s="114">
        <f t="shared" ref="D18" si="19">1.003*B18</f>
        <v>173.92522502999998</v>
      </c>
      <c r="E18" s="119">
        <f>8831.921/4893.543*100</f>
        <v>180.48111562522288</v>
      </c>
      <c r="F18" s="34">
        <v>174984.55147997395</v>
      </c>
      <c r="G18" s="32">
        <f t="shared" si="5"/>
        <v>30.343197899230397</v>
      </c>
      <c r="H18" s="91"/>
      <c r="I18" s="4"/>
      <c r="J18" s="4"/>
    </row>
    <row r="19" spans="1:10" ht="16.5" customHeight="1">
      <c r="A19" s="35">
        <v>43943</v>
      </c>
      <c r="B19" s="68">
        <v>166.14078382369087</v>
      </c>
      <c r="C19" s="114">
        <f t="shared" ref="C19" si="20">0.997*B19</f>
        <v>165.64236147221979</v>
      </c>
      <c r="D19" s="114">
        <f t="shared" ref="D19" si="21">1.003*B19</f>
        <v>166.63920617516192</v>
      </c>
      <c r="E19" s="119">
        <f>8389.982/4893.543*100</f>
        <v>171.45005162925921</v>
      </c>
      <c r="F19" s="34">
        <v>184984.35147997394</v>
      </c>
      <c r="G19" s="32">
        <f t="shared" si="5"/>
        <v>30.733445149999998</v>
      </c>
      <c r="H19" s="91"/>
      <c r="I19" s="4"/>
      <c r="J19" s="4"/>
    </row>
    <row r="20" spans="1:10" ht="16.5" customHeight="1">
      <c r="A20" s="35">
        <v>43936</v>
      </c>
      <c r="B20" s="68">
        <v>165.58430999999999</v>
      </c>
      <c r="C20" s="114">
        <f t="shared" ref="C20" si="22">0.997*B20</f>
        <v>165.08755706999997</v>
      </c>
      <c r="D20" s="114">
        <f t="shared" ref="D20" si="23">1.003*B20</f>
        <v>166.08106292999997</v>
      </c>
      <c r="E20" s="119">
        <f>8353.582/4893.543*100</f>
        <v>170.70621429095445</v>
      </c>
      <c r="F20" s="34">
        <v>184984.35147997394</v>
      </c>
      <c r="G20" s="32">
        <f t="shared" si="5"/>
        <v>30.630506200608963</v>
      </c>
      <c r="H20" s="91"/>
      <c r="I20" s="4"/>
      <c r="J20" s="4"/>
    </row>
    <row r="21" spans="1:10" ht="16.5" customHeight="1">
      <c r="A21" s="35">
        <v>43929</v>
      </c>
      <c r="B21" s="68">
        <v>163.77139475648943</v>
      </c>
      <c r="C21" s="114">
        <f t="shared" ref="C21" si="24">0.997*B21</f>
        <v>163.28008057221996</v>
      </c>
      <c r="D21" s="114">
        <f t="shared" ref="D21" si="25">1.003*B21</f>
        <v>164.26270894075887</v>
      </c>
      <c r="E21" s="119">
        <f>8266.021/4893.543*100</f>
        <v>168.91689722558894</v>
      </c>
      <c r="F21" s="34">
        <v>184984.35147997399</v>
      </c>
      <c r="G21" s="32">
        <f t="shared" si="5"/>
        <v>30.295145250000012</v>
      </c>
      <c r="H21" s="91"/>
      <c r="I21" s="4"/>
      <c r="J21" s="4"/>
    </row>
    <row r="22" spans="1:10" ht="16.5" customHeight="1">
      <c r="A22" s="35">
        <v>43922</v>
      </c>
      <c r="B22" s="68">
        <v>152.74753899999999</v>
      </c>
      <c r="C22" s="114">
        <f t="shared" ref="C22" si="26">0.997*B22</f>
        <v>152.28929638299999</v>
      </c>
      <c r="D22" s="114">
        <f t="shared" ref="D22" si="27">1.003*B22</f>
        <v>153.20578161699999</v>
      </c>
      <c r="E22" s="119">
        <f>7586.144/4893.543*100</f>
        <v>155.02354837793396</v>
      </c>
      <c r="F22" s="34">
        <v>186984.35147997394</v>
      </c>
      <c r="G22" s="32">
        <f t="shared" si="5"/>
        <v>28.561399520077025</v>
      </c>
      <c r="H22" s="91"/>
      <c r="I22" s="4"/>
      <c r="J22" s="4"/>
    </row>
    <row r="23" spans="1:10" ht="16.5" customHeight="1">
      <c r="A23" s="35">
        <v>43915</v>
      </c>
      <c r="B23" s="68">
        <v>154.94264895633731</v>
      </c>
      <c r="C23" s="114">
        <f t="shared" ref="C23" si="28">0.997*B23</f>
        <v>154.4778210094683</v>
      </c>
      <c r="D23" s="114">
        <f t="shared" ref="D23" si="29">1.003*B23</f>
        <v>155.40747690320632</v>
      </c>
      <c r="E23" s="119">
        <f>7594.07/4893.543*100</f>
        <v>155.18551691484063</v>
      </c>
      <c r="F23" s="34">
        <v>207358.84887997393</v>
      </c>
      <c r="G23" s="32">
        <f t="shared" si="5"/>
        <v>32.128729329999999</v>
      </c>
      <c r="H23" s="91"/>
      <c r="I23" s="4"/>
      <c r="J23" s="4"/>
    </row>
    <row r="24" spans="1:10" ht="16.5" customHeight="1">
      <c r="A24" s="35">
        <v>43908</v>
      </c>
      <c r="B24" s="68">
        <v>147.49928650358086</v>
      </c>
      <c r="C24" s="114">
        <f t="shared" ref="C24:C25" si="30">0.997*B24</f>
        <v>147.05678864407011</v>
      </c>
      <c r="D24" s="114">
        <f t="shared" ref="D24:D25" si="31">1.003*B24</f>
        <v>147.94178436309159</v>
      </c>
      <c r="E24" s="119">
        <f>7149.182/4893.543*100</f>
        <v>146.09418983341925</v>
      </c>
      <c r="F24" s="34">
        <v>207358.84887997393</v>
      </c>
      <c r="G24" s="32">
        <f t="shared" si="5"/>
        <v>30.585282260000003</v>
      </c>
      <c r="H24" s="91"/>
      <c r="I24" s="4"/>
      <c r="J24" s="4"/>
    </row>
    <row r="25" spans="1:10" ht="16.5" customHeight="1">
      <c r="A25" s="35">
        <v>43901</v>
      </c>
      <c r="B25" s="68">
        <v>179.95243468774746</v>
      </c>
      <c r="C25" s="114">
        <f t="shared" si="30"/>
        <v>179.41257738368421</v>
      </c>
      <c r="D25" s="114">
        <f t="shared" si="31"/>
        <v>180.49229199181067</v>
      </c>
      <c r="E25" s="119">
        <f>8376.687/4893.543*100</f>
        <v>171.17836708495258</v>
      </c>
      <c r="F25" s="34">
        <v>207358.84887997393</v>
      </c>
      <c r="G25" s="32">
        <f t="shared" si="5"/>
        <v>37.314729710000002</v>
      </c>
      <c r="H25" s="91"/>
      <c r="I25" s="4"/>
      <c r="J25" s="4"/>
    </row>
    <row r="26" spans="1:10" ht="16.5" customHeight="1">
      <c r="A26" s="35">
        <v>43894</v>
      </c>
      <c r="B26" s="68">
        <v>201.20744754977946</v>
      </c>
      <c r="C26" s="114">
        <f t="shared" ref="C26" si="32">0.997*B26</f>
        <v>200.60382520713011</v>
      </c>
      <c r="D26" s="114">
        <f t="shared" ref="D26" si="33">1.003*B26</f>
        <v>201.81106989242878</v>
      </c>
      <c r="E26" s="119">
        <f>9522.494/4893.543*100</f>
        <v>194.59303821382588</v>
      </c>
      <c r="F26" s="34">
        <v>207358.84887997393</v>
      </c>
      <c r="G26" s="32">
        <f t="shared" si="5"/>
        <v>41.722144710000002</v>
      </c>
      <c r="H26" s="91"/>
      <c r="I26" s="4"/>
      <c r="J26" s="4"/>
    </row>
    <row r="27" spans="1:10" ht="16.5" customHeight="1">
      <c r="A27" s="35">
        <v>43887</v>
      </c>
      <c r="B27" s="68">
        <v>201.18762475058111</v>
      </c>
      <c r="C27" s="114">
        <f t="shared" ref="C27" si="34">0.997*B27</f>
        <v>200.58406187632937</v>
      </c>
      <c r="D27" s="114">
        <f t="shared" ref="D27" si="35">1.003*B27</f>
        <v>201.79118762483282</v>
      </c>
      <c r="E27" s="119">
        <f>9580.501/4893.543*100</f>
        <v>195.7784165787447</v>
      </c>
      <c r="F27" s="34">
        <v>207342.95397997391</v>
      </c>
      <c r="G27" s="32">
        <f t="shared" si="5"/>
        <v>41.714836420000005</v>
      </c>
      <c r="H27" s="91"/>
      <c r="I27" s="4"/>
      <c r="J27" s="4"/>
    </row>
    <row r="28" spans="1:10" ht="16.5" customHeight="1">
      <c r="A28" s="35">
        <v>43880</v>
      </c>
      <c r="B28" s="68">
        <v>212.28349401371773</v>
      </c>
      <c r="C28" s="114">
        <f t="shared" ref="C28" si="36">0.997*B28</f>
        <v>211.64664353167657</v>
      </c>
      <c r="D28" s="114">
        <f t="shared" ref="D28" si="37">1.003*B28</f>
        <v>212.92034449575885</v>
      </c>
      <c r="E28" s="119">
        <f>10309.42/4893.543*100</f>
        <v>210.67394319412335</v>
      </c>
      <c r="F28" s="34">
        <v>207933.56117997391</v>
      </c>
      <c r="G28" s="32">
        <f t="shared" si="5"/>
        <v>44.140862890000001</v>
      </c>
      <c r="H28" s="91"/>
      <c r="I28" s="4"/>
      <c r="J28" s="4"/>
    </row>
    <row r="29" spans="1:10" ht="16.5" customHeight="1">
      <c r="A29" s="35">
        <v>43873</v>
      </c>
      <c r="B29" s="68">
        <v>214.82675555841027</v>
      </c>
      <c r="C29" s="114">
        <f t="shared" ref="C29" si="38">0.997*B29</f>
        <v>214.18227529173504</v>
      </c>
      <c r="D29" s="114">
        <f t="shared" ref="D29" si="39">1.003*B29</f>
        <v>215.47123582508547</v>
      </c>
      <c r="E29" s="119">
        <f>10318.2/4893.543*100</f>
        <v>210.85336329935186</v>
      </c>
      <c r="F29" s="34">
        <v>207933.56117997391</v>
      </c>
      <c r="G29" s="32">
        <f t="shared" si="5"/>
        <v>44.669692320000003</v>
      </c>
      <c r="H29" s="91"/>
      <c r="I29" s="4"/>
      <c r="J29" s="4"/>
    </row>
    <row r="30" spans="1:10" ht="16.5" customHeight="1">
      <c r="A30" s="35">
        <v>43866</v>
      </c>
      <c r="B30" s="68">
        <v>213.08700283188006</v>
      </c>
      <c r="C30" s="114">
        <f t="shared" ref="C30" si="40">0.997*B30</f>
        <v>212.4477418233844</v>
      </c>
      <c r="D30" s="114">
        <f t="shared" ref="D30" si="41">1.003*B30</f>
        <v>213.72626384037568</v>
      </c>
      <c r="E30" s="119">
        <f>10186.41/4893.543*100</f>
        <v>208.16022256267087</v>
      </c>
      <c r="F30" s="34">
        <v>207933.56117997391</v>
      </c>
      <c r="G30" s="32">
        <f t="shared" si="5"/>
        <v>44.307939340000004</v>
      </c>
      <c r="H30" s="91"/>
      <c r="I30" s="4"/>
      <c r="J30" s="4"/>
    </row>
    <row r="31" spans="1:10" ht="16.5" customHeight="1">
      <c r="A31" s="35">
        <v>43859</v>
      </c>
      <c r="B31" s="68">
        <v>213.554518</v>
      </c>
      <c r="C31" s="114">
        <f t="shared" ref="C31" si="42">0.997*B31</f>
        <v>212.91385444599999</v>
      </c>
      <c r="D31" s="114">
        <f t="shared" ref="D31" si="43">1.003*B31</f>
        <v>214.19518155399999</v>
      </c>
      <c r="E31" s="119">
        <f>10050.92/4893.543*100</f>
        <v>205.39147198665671</v>
      </c>
      <c r="F31" s="34">
        <v>207917.76202800102</v>
      </c>
      <c r="G31" s="32">
        <f t="shared" si="5"/>
        <v>44.401777453528453</v>
      </c>
      <c r="H31" s="91"/>
      <c r="I31" s="4"/>
      <c r="J31" s="4"/>
    </row>
    <row r="32" spans="1:10" ht="16.5" customHeight="1">
      <c r="A32" s="35">
        <v>43852</v>
      </c>
      <c r="B32" s="68">
        <v>216.27196681707341</v>
      </c>
      <c r="C32" s="114">
        <f t="shared" ref="C32" si="44">0.997*B32</f>
        <v>215.62315091662219</v>
      </c>
      <c r="D32" s="114">
        <f t="shared" ref="D32" si="45">1.003*B32</f>
        <v>216.92078271752459</v>
      </c>
      <c r="E32" s="119">
        <f>10205.19/4893.543*100</f>
        <v>208.54399358501604</v>
      </c>
      <c r="F32" s="34">
        <v>207917.76202800102</v>
      </c>
      <c r="G32" s="32">
        <f t="shared" si="5"/>
        <v>44.966783329999998</v>
      </c>
      <c r="H32" s="91"/>
      <c r="I32" s="4"/>
      <c r="J32" s="4"/>
    </row>
    <row r="33" spans="1:10" ht="16.5" customHeight="1">
      <c r="A33" s="35">
        <v>43845</v>
      </c>
      <c r="B33" s="68">
        <v>216.412721</v>
      </c>
      <c r="C33" s="114">
        <f t="shared" ref="C33" si="46">0.997*B33</f>
        <v>215.763482837</v>
      </c>
      <c r="D33" s="114">
        <f t="shared" ref="D33" si="47">1.003*B33</f>
        <v>217.06195916299998</v>
      </c>
      <c r="E33" s="119">
        <f>10126.9/4893.543*100</f>
        <v>206.94413025490937</v>
      </c>
      <c r="F33" s="34">
        <v>208500.73939999999</v>
      </c>
      <c r="G33" s="32">
        <f t="shared" si="5"/>
        <v>45.122212344065908</v>
      </c>
      <c r="H33" s="91"/>
      <c r="I33" s="4"/>
      <c r="J33" s="4"/>
    </row>
    <row r="34" spans="1:10" ht="16.5" customHeight="1">
      <c r="A34" s="35">
        <v>43838</v>
      </c>
      <c r="B34" s="68">
        <v>211.58130825350688</v>
      </c>
      <c r="C34" s="114">
        <f t="shared" ref="C34" si="48">0.997*B34</f>
        <v>210.94656432874635</v>
      </c>
      <c r="D34" s="114">
        <f t="shared" ref="D34" si="49">1.003*B34</f>
        <v>212.21605217826738</v>
      </c>
      <c r="E34" s="119">
        <f>10017.77/4893.543*100</f>
        <v>204.71404869641486</v>
      </c>
      <c r="F34" s="34">
        <v>208500.73942800102</v>
      </c>
      <c r="G34" s="32">
        <f t="shared" si="5"/>
        <v>44.11485922</v>
      </c>
      <c r="H34" s="91"/>
      <c r="I34" s="4"/>
      <c r="J34" s="4"/>
    </row>
    <row r="35" spans="1:10" ht="16.5" customHeight="1">
      <c r="A35" s="35">
        <v>43830</v>
      </c>
      <c r="B35" s="68">
        <v>214.35539299999999</v>
      </c>
      <c r="C35" s="114">
        <f t="shared" ref="C35" si="50">0.997*B35</f>
        <v>213.712326821</v>
      </c>
      <c r="D35" s="114">
        <f t="shared" ref="D35" si="51">1.003*B35</f>
        <v>214.99845917899998</v>
      </c>
      <c r="E35" s="119">
        <f>9979.034/4893.543*100</f>
        <v>203.92247498387158</v>
      </c>
      <c r="F35" s="34">
        <v>209278.258028001</v>
      </c>
      <c r="G35" s="32">
        <f t="shared" si="5"/>
        <v>44.859923245947556</v>
      </c>
      <c r="H35" s="91"/>
      <c r="I35" s="4"/>
      <c r="J35" s="4"/>
    </row>
    <row r="36" spans="1:10" ht="16.5" customHeight="1">
      <c r="A36" s="35">
        <v>43824</v>
      </c>
      <c r="B36" s="68">
        <v>212.565572</v>
      </c>
      <c r="C36" s="114">
        <f t="shared" ref="C36" si="52">0.997*B36</f>
        <v>211.92787528400001</v>
      </c>
      <c r="D36" s="114">
        <f t="shared" ref="D36" si="53">1.003*B36</f>
        <v>213.20326871599997</v>
      </c>
      <c r="E36" s="119">
        <f>9946.775/4893.543*100</f>
        <v>203.26325936034488</v>
      </c>
      <c r="F36" s="34">
        <v>209278.258028001</v>
      </c>
      <c r="G36" s="32">
        <f t="shared" si="5"/>
        <v>44.485352624885628</v>
      </c>
      <c r="H36" s="91"/>
      <c r="I36" s="4"/>
      <c r="J36" s="4"/>
    </row>
    <row r="37" spans="1:10" ht="16.5" customHeight="1">
      <c r="A37" s="35">
        <v>43817</v>
      </c>
      <c r="B37" s="68">
        <v>211.27430649811745</v>
      </c>
      <c r="C37" s="114">
        <f t="shared" ref="C37" si="54">0.997*B37</f>
        <v>210.6404835786231</v>
      </c>
      <c r="D37" s="114">
        <f t="shared" ref="D37" si="55">1.003*B37</f>
        <v>211.90812941761178</v>
      </c>
      <c r="E37" s="119">
        <f>9866.404/4893.543*100</f>
        <v>201.62087060438628</v>
      </c>
      <c r="F37" s="34">
        <v>209278.25802800103</v>
      </c>
      <c r="G37" s="32">
        <f t="shared" ref="G37:G53" si="56">F37*B37/1000000</f>
        <v>44.215118830000002</v>
      </c>
      <c r="H37" s="91"/>
      <c r="I37" s="4"/>
      <c r="J37" s="4"/>
    </row>
    <row r="38" spans="1:10" ht="16.5" customHeight="1">
      <c r="A38" s="35">
        <v>43810</v>
      </c>
      <c r="B38" s="68">
        <v>208.73685026638148</v>
      </c>
      <c r="C38" s="114">
        <f t="shared" ref="C38" si="57">0.997*B38</f>
        <v>208.11063971558232</v>
      </c>
      <c r="D38" s="114">
        <f t="shared" ref="D38" si="58">1.003*B38</f>
        <v>209.36306081718061</v>
      </c>
      <c r="E38" s="119">
        <f xml:space="preserve"> 9701.467/4893.543*100</f>
        <v>198.25036788273854</v>
      </c>
      <c r="F38" s="34">
        <v>209278.25802800103</v>
      </c>
      <c r="G38" s="32">
        <f t="shared" si="56"/>
        <v>43.684084409999997</v>
      </c>
      <c r="H38" s="91"/>
      <c r="I38" s="4"/>
      <c r="J38" s="4"/>
    </row>
    <row r="39" spans="1:10" ht="16.5" customHeight="1">
      <c r="A39" s="35">
        <v>43803</v>
      </c>
      <c r="B39" s="68">
        <v>205.162678</v>
      </c>
      <c r="C39" s="114">
        <f t="shared" ref="C39" si="59">0.997*B39</f>
        <v>204.54718996599999</v>
      </c>
      <c r="D39" s="114">
        <f t="shared" ref="D39" si="60">1.003*B39</f>
        <v>205.77816603399998</v>
      </c>
      <c r="E39" s="119">
        <f xml:space="preserve"> 9615.661/4893.543*100</f>
        <v>196.49691440332703</v>
      </c>
      <c r="F39" s="34">
        <v>209278.258</v>
      </c>
      <c r="G39" s="32">
        <f t="shared" si="56"/>
        <v>42.936087858454925</v>
      </c>
      <c r="H39" s="91"/>
      <c r="I39" s="4"/>
      <c r="J39" s="4"/>
    </row>
    <row r="40" spans="1:10" ht="16.5" customHeight="1">
      <c r="A40" s="35">
        <v>43796</v>
      </c>
      <c r="B40" s="68">
        <v>208.25849183044198</v>
      </c>
      <c r="C40" s="114">
        <f t="shared" ref="C40:C45" si="61">0.997*B40</f>
        <v>207.63371635495065</v>
      </c>
      <c r="D40" s="114">
        <f t="shared" ref="D40:D45" si="62">1.003*B40</f>
        <v>208.88326730593329</v>
      </c>
      <c r="E40" s="119">
        <f>9727.102/4893.543*100</f>
        <v>198.77422145876722</v>
      </c>
      <c r="F40" s="34">
        <v>209263.20428500103</v>
      </c>
      <c r="G40" s="32">
        <f t="shared" si="56"/>
        <v>43.580839320000003</v>
      </c>
      <c r="H40" s="91"/>
      <c r="I40" s="4"/>
      <c r="J40" s="4"/>
    </row>
    <row r="41" spans="1:10" ht="16.5" customHeight="1">
      <c r="A41" s="35">
        <v>43789</v>
      </c>
      <c r="B41" s="68">
        <v>207.28613082366471</v>
      </c>
      <c r="C41" s="114">
        <f t="shared" si="61"/>
        <v>206.66427243119372</v>
      </c>
      <c r="D41" s="114">
        <f t="shared" si="62"/>
        <v>207.90798921613569</v>
      </c>
      <c r="E41" s="119">
        <f>9607.063/4893.543*100</f>
        <v>196.32121348479009</v>
      </c>
      <c r="F41" s="34">
        <v>209263.20428500103</v>
      </c>
      <c r="G41" s="32">
        <f t="shared" si="56"/>
        <v>43.377359939999998</v>
      </c>
      <c r="H41" s="91"/>
      <c r="I41" s="4"/>
      <c r="J41" s="4"/>
    </row>
    <row r="42" spans="1:10" ht="16.5" customHeight="1">
      <c r="A42" s="35">
        <v>43782</v>
      </c>
      <c r="B42" s="68">
        <v>206.73874658384398</v>
      </c>
      <c r="C42" s="114">
        <f t="shared" si="61"/>
        <v>206.11853034409245</v>
      </c>
      <c r="D42" s="114">
        <f t="shared" si="62"/>
        <v>207.35896282359548</v>
      </c>
      <c r="E42" s="119">
        <f>9572.744/4893.543*100</f>
        <v>195.61990157233728</v>
      </c>
      <c r="F42" s="34">
        <v>209263</v>
      </c>
      <c r="G42" s="32">
        <f t="shared" si="56"/>
        <v>43.262770326374941</v>
      </c>
      <c r="H42" s="91"/>
      <c r="I42" s="4"/>
      <c r="J42" s="4"/>
    </row>
    <row r="43" spans="1:10" ht="16.5" customHeight="1">
      <c r="A43" s="35">
        <v>43775</v>
      </c>
      <c r="B43" s="68">
        <v>204.62794534519975</v>
      </c>
      <c r="C43" s="114">
        <f t="shared" si="61"/>
        <v>204.01406150916415</v>
      </c>
      <c r="D43" s="114">
        <f t="shared" si="62"/>
        <v>205.24182918123532</v>
      </c>
      <c r="E43" s="119">
        <f>9537.159/4893.543*100</f>
        <v>194.89271883377751</v>
      </c>
      <c r="F43" s="34">
        <v>209731.38198500103</v>
      </c>
      <c r="G43" s="32">
        <f t="shared" si="56"/>
        <v>42.916901770000003</v>
      </c>
      <c r="H43" s="91"/>
      <c r="I43" s="4"/>
      <c r="J43" s="4"/>
    </row>
    <row r="44" spans="1:10" ht="16.5" customHeight="1">
      <c r="A44" s="35">
        <v>43768</v>
      </c>
      <c r="B44" s="68">
        <v>202.93970300000001</v>
      </c>
      <c r="C44" s="114">
        <f t="shared" si="61"/>
        <v>202.33088389100001</v>
      </c>
      <c r="D44" s="114">
        <f t="shared" si="62"/>
        <v>203.54852210899998</v>
      </c>
      <c r="E44" s="119">
        <f>9433.296/4893.543*100</f>
        <v>192.77026890332834</v>
      </c>
      <c r="F44" s="34">
        <v>209811.42240000001</v>
      </c>
      <c r="G44" s="32">
        <f t="shared" si="56"/>
        <v>42.579067747863554</v>
      </c>
      <c r="H44" s="91"/>
      <c r="I44" s="4"/>
      <c r="J44" s="4"/>
    </row>
    <row r="45" spans="1:10" ht="16.5" customHeight="1">
      <c r="A45" s="35">
        <v>43761</v>
      </c>
      <c r="B45" s="68">
        <v>200.75023400000001</v>
      </c>
      <c r="C45" s="114">
        <f t="shared" si="61"/>
        <v>200.14798329800001</v>
      </c>
      <c r="D45" s="114">
        <f t="shared" si="62"/>
        <v>201.352484702</v>
      </c>
      <c r="E45" s="119">
        <f>9309.434/4893.543*100</f>
        <v>190.23913757373748</v>
      </c>
      <c r="F45" s="34">
        <v>209811.42238500103</v>
      </c>
      <c r="G45" s="32">
        <f t="shared" si="56"/>
        <v>42.119692139661794</v>
      </c>
      <c r="H45" s="91"/>
      <c r="I45" s="4"/>
      <c r="J45" s="4"/>
    </row>
    <row r="46" spans="1:10" ht="16.5" customHeight="1">
      <c r="A46" s="35">
        <v>43754</v>
      </c>
      <c r="B46" s="68">
        <v>200.44130119034205</v>
      </c>
      <c r="C46" s="114">
        <f t="shared" ref="C46" si="63">0.997*B46</f>
        <v>199.83997728677102</v>
      </c>
      <c r="D46" s="114">
        <f t="shared" ref="D46" si="64">1.003*B46</f>
        <v>201.04262509391305</v>
      </c>
      <c r="E46" s="119">
        <f>9253.354/4893.543*100</f>
        <v>189.09313763054703</v>
      </c>
      <c r="F46" s="34">
        <v>209811.42238500103</v>
      </c>
      <c r="G46" s="32">
        <f t="shared" si="56"/>
        <v>42.054874507446065</v>
      </c>
      <c r="H46" s="91"/>
      <c r="I46" s="4"/>
      <c r="J46" s="4"/>
    </row>
    <row r="47" spans="1:10" ht="16.5" customHeight="1">
      <c r="A47" s="35">
        <v>43747</v>
      </c>
      <c r="B47" s="68">
        <v>194.95355383374206</v>
      </c>
      <c r="C47" s="114">
        <f t="shared" ref="C47" si="65">0.997*B47</f>
        <v>194.36869317224082</v>
      </c>
      <c r="D47" s="114">
        <f t="shared" ref="D47" si="66">1.003*B47</f>
        <v>195.53841449524327</v>
      </c>
      <c r="E47" s="119">
        <f>9007.963/4893.543*100</f>
        <v>184.07855004032868</v>
      </c>
      <c r="F47" s="34">
        <v>214991</v>
      </c>
      <c r="G47" s="32">
        <f t="shared" si="56"/>
        <v>41.913259492270036</v>
      </c>
      <c r="H47" s="91"/>
      <c r="I47" s="4"/>
      <c r="J47" s="4"/>
    </row>
    <row r="48" spans="1:10" ht="16.5" customHeight="1">
      <c r="A48" s="35">
        <v>43740</v>
      </c>
      <c r="B48" s="68">
        <v>193.68098699999999</v>
      </c>
      <c r="C48" s="114">
        <f t="shared" ref="C48" si="67">0.997*B48</f>
        <v>193.09994403899998</v>
      </c>
      <c r="D48" s="114">
        <f t="shared" ref="D48" si="68">1.003*B48</f>
        <v>194.26202996099997</v>
      </c>
      <c r="E48" s="119">
        <f>8935.837/4893.543*100</f>
        <v>182.60464861553277</v>
      </c>
      <c r="F48" s="34">
        <v>215250.35568500104</v>
      </c>
      <c r="G48" s="32">
        <f t="shared" si="56"/>
        <v>41.68990134117206</v>
      </c>
      <c r="H48" s="91"/>
      <c r="I48" s="4"/>
      <c r="J48" s="4"/>
    </row>
    <row r="49" spans="1:10" ht="16.5" customHeight="1">
      <c r="A49" s="35">
        <v>43733</v>
      </c>
      <c r="B49" s="68">
        <v>197.9309148794305</v>
      </c>
      <c r="C49" s="114">
        <f t="shared" ref="C49" si="69">0.997*B49</f>
        <v>197.33712213479222</v>
      </c>
      <c r="D49" s="114">
        <f t="shared" ref="D49" si="70">1.003*B49</f>
        <v>198.52470762406878</v>
      </c>
      <c r="E49" s="119">
        <f>9190.969/4893.543*100</f>
        <v>187.81829443411451</v>
      </c>
      <c r="F49" s="34">
        <v>219128.10089999999</v>
      </c>
      <c r="G49" s="32">
        <f t="shared" si="56"/>
        <v>43.372225486929153</v>
      </c>
      <c r="H49" s="91"/>
      <c r="I49" s="4"/>
      <c r="J49" s="4"/>
    </row>
    <row r="50" spans="1:10" ht="16.5" customHeight="1">
      <c r="A50" s="35">
        <v>43726</v>
      </c>
      <c r="B50" s="68">
        <v>201.13156341604088</v>
      </c>
      <c r="C50" s="114">
        <f t="shared" ref="C50" si="71">0.997*B50</f>
        <v>200.52816872579277</v>
      </c>
      <c r="D50" s="114">
        <f t="shared" ref="D50" si="72">1.003*B50</f>
        <v>201.73495810628899</v>
      </c>
      <c r="E50" s="119">
        <f>9258.701/4893.543*100</f>
        <v>189.20240406592933</v>
      </c>
      <c r="F50" s="34">
        <v>274576.09748500102</v>
      </c>
      <c r="G50" s="32">
        <f t="shared" si="56"/>
        <v>55.22591976383351</v>
      </c>
      <c r="H50" s="91"/>
      <c r="I50" s="4"/>
      <c r="J50" s="4"/>
    </row>
    <row r="51" spans="1:10" ht="16.5" customHeight="1">
      <c r="A51" s="35">
        <v>43719</v>
      </c>
      <c r="B51" s="68">
        <v>200.50397100000001</v>
      </c>
      <c r="C51" s="114">
        <f t="shared" ref="C51" si="73">0.997*B51</f>
        <v>199.90245908700001</v>
      </c>
      <c r="D51" s="114">
        <f t="shared" ref="D51" si="74">1.003*B51</f>
        <v>201.10548291299997</v>
      </c>
      <c r="E51" s="119">
        <f>9227.576/4893.543*100</f>
        <v>188.56636183640362</v>
      </c>
      <c r="F51" s="34">
        <v>275630.19348500104</v>
      </c>
      <c r="G51" s="32">
        <f t="shared" si="56"/>
        <v>55.264948321241043</v>
      </c>
      <c r="H51" s="91"/>
      <c r="I51" s="4"/>
      <c r="J51" s="4"/>
    </row>
    <row r="52" spans="1:10" ht="16.5" customHeight="1">
      <c r="A52" s="35">
        <v>43712</v>
      </c>
      <c r="B52" s="68">
        <v>197.04333800000001</v>
      </c>
      <c r="C52" s="114">
        <f t="shared" ref="C52" si="75">0.997*B52</f>
        <v>196.45220798600002</v>
      </c>
      <c r="D52" s="114">
        <f t="shared" ref="D52" si="76">1.003*B52</f>
        <v>197.63446801399999</v>
      </c>
      <c r="E52" s="119">
        <f>9035.518/4893.543*100</f>
        <v>184.64163899244372</v>
      </c>
      <c r="F52" s="34">
        <v>275630</v>
      </c>
      <c r="G52" s="32">
        <f t="shared" si="56"/>
        <v>54.311055252940001</v>
      </c>
      <c r="H52" s="91"/>
      <c r="I52" s="4"/>
      <c r="J52" s="4"/>
    </row>
    <row r="53" spans="1:10" ht="16.5" customHeight="1">
      <c r="A53" s="35">
        <v>43705</v>
      </c>
      <c r="B53" s="68">
        <v>194.29934960142018</v>
      </c>
      <c r="C53" s="114">
        <f t="shared" ref="C53" si="77">0.997*B53</f>
        <v>193.71645155261592</v>
      </c>
      <c r="D53" s="114">
        <f t="shared" ref="D53" si="78">1.003*B53</f>
        <v>194.88224765022443</v>
      </c>
      <c r="E53" s="119">
        <f>8872.46/4893.543*100</f>
        <v>181.30953380812224</v>
      </c>
      <c r="F53" s="34">
        <v>275608.17578500102</v>
      </c>
      <c r="G53" s="32">
        <f t="shared" si="56"/>
        <v>53.550489299859578</v>
      </c>
      <c r="H53" s="91"/>
      <c r="I53" s="4"/>
      <c r="J53" s="4"/>
    </row>
    <row r="54" spans="1:10" ht="16.5" customHeight="1">
      <c r="A54" s="35">
        <v>43698</v>
      </c>
      <c r="B54" s="68">
        <v>196.71667099999999</v>
      </c>
      <c r="C54" s="114">
        <f t="shared" ref="C54" si="79">0.997*B54</f>
        <v>196.12652098699999</v>
      </c>
      <c r="D54" s="114">
        <f t="shared" ref="D54" si="80">1.003*B54</f>
        <v>197.30682101299996</v>
      </c>
      <c r="E54" s="119">
        <f>8969.017/4893.543*100</f>
        <v>183.28268495852598</v>
      </c>
      <c r="F54" s="34">
        <v>275608.17578500102</v>
      </c>
      <c r="G54" s="32">
        <f t="shared" ref="G54:G77" si="81">F54*B54/1000000</f>
        <v>54.21672284080821</v>
      </c>
      <c r="H54" s="91"/>
      <c r="I54" s="4"/>
      <c r="J54" s="4"/>
    </row>
    <row r="55" spans="1:10" ht="16.5" customHeight="1">
      <c r="A55" s="35">
        <v>43691</v>
      </c>
      <c r="B55" s="68">
        <v>192.26717378402086</v>
      </c>
      <c r="C55" s="114">
        <f t="shared" ref="C55" si="82">0.997*B55</f>
        <v>191.6903722626688</v>
      </c>
      <c r="D55" s="114">
        <f t="shared" ref="D55" si="83">1.003*B55</f>
        <v>192.84397530537291</v>
      </c>
      <c r="E55" s="119">
        <f>8756.496/4893.543*100</f>
        <v>178.93979883287017</v>
      </c>
      <c r="F55" s="34">
        <v>275608.17578500102</v>
      </c>
      <c r="G55" s="32">
        <f t="shared" si="81"/>
        <v>52.990405029951759</v>
      </c>
      <c r="H55" s="91"/>
      <c r="I55" s="4"/>
      <c r="J55" s="4"/>
    </row>
    <row r="56" spans="1:10" ht="16.5" customHeight="1">
      <c r="A56" s="35">
        <v>43684</v>
      </c>
      <c r="B56" s="68">
        <v>190.97098209306074</v>
      </c>
      <c r="C56" s="114">
        <f t="shared" ref="C56:C63" si="84">0.997*B56</f>
        <v>190.39806914678155</v>
      </c>
      <c r="D56" s="114">
        <f t="shared" ref="D56:D58" si="85">1.003*B56</f>
        <v>191.5438950393399</v>
      </c>
      <c r="E56" s="119">
        <f>8864.011/4893.543*100</f>
        <v>181.13687771825039</v>
      </c>
      <c r="F56" s="34">
        <v>275608.17578500102</v>
      </c>
      <c r="G56" s="32">
        <f t="shared" si="81"/>
        <v>52.633164002538571</v>
      </c>
      <c r="H56" s="91"/>
      <c r="I56" s="4"/>
      <c r="J56" s="4"/>
    </row>
    <row r="57" spans="1:10" ht="16.5" customHeight="1">
      <c r="A57" s="35">
        <v>43677</v>
      </c>
      <c r="B57" s="68">
        <v>198.71651023659606</v>
      </c>
      <c r="C57" s="114">
        <f t="shared" si="84"/>
        <v>198.12036070588627</v>
      </c>
      <c r="D57" s="114">
        <f t="shared" si="85"/>
        <v>199.31265976730583</v>
      </c>
      <c r="E57" s="119">
        <f>9169.816/4893.543*100</f>
        <v>187.38603093913758</v>
      </c>
      <c r="F57" s="34">
        <v>275578.680385001</v>
      </c>
      <c r="G57" s="32">
        <f t="shared" si="81"/>
        <v>54.762033661713687</v>
      </c>
      <c r="H57" s="91"/>
      <c r="I57" s="4"/>
      <c r="J57" s="4"/>
    </row>
    <row r="58" spans="1:10" ht="16.5" customHeight="1">
      <c r="A58" s="79">
        <v>43670</v>
      </c>
      <c r="B58" s="71">
        <v>200.81960593007398</v>
      </c>
      <c r="C58" s="117">
        <f t="shared" si="84"/>
        <v>200.21714711228375</v>
      </c>
      <c r="D58" s="117">
        <f t="shared" si="85"/>
        <v>201.42206474786417</v>
      </c>
      <c r="E58" s="118">
        <f>9294.568/4893.543*100</f>
        <v>189.93534950035178</v>
      </c>
      <c r="F58" s="31">
        <v>275578.680385001</v>
      </c>
      <c r="G58" s="81">
        <f t="shared" si="81"/>
        <v>55.341601997645704</v>
      </c>
      <c r="H58" s="91"/>
      <c r="I58" s="4"/>
      <c r="J58" s="4"/>
    </row>
    <row r="59" spans="1:10" ht="16.5" customHeight="1">
      <c r="A59" s="79">
        <v>43663</v>
      </c>
      <c r="B59" s="71">
        <v>200.56300759171341</v>
      </c>
      <c r="C59" s="117">
        <f t="shared" si="84"/>
        <v>199.96131856893828</v>
      </c>
      <c r="D59" s="117">
        <f t="shared" ref="D59:D60" si="86">1.003*B59</f>
        <v>201.16469661448852</v>
      </c>
      <c r="E59" s="118">
        <f>9209.759/4893.543*100</f>
        <v>188.20226980737681</v>
      </c>
      <c r="F59" s="31">
        <v>278778.680385001</v>
      </c>
      <c r="G59" s="81">
        <f t="shared" si="81"/>
        <v>55.912690590464798</v>
      </c>
      <c r="H59" s="91"/>
      <c r="I59" s="4"/>
      <c r="J59" s="4"/>
    </row>
    <row r="60" spans="1:10" ht="16.5" customHeight="1">
      <c r="A60" s="35">
        <v>43656</v>
      </c>
      <c r="B60" s="68">
        <v>197.29410915823149</v>
      </c>
      <c r="C60" s="114">
        <f t="shared" si="84"/>
        <v>196.70222683075679</v>
      </c>
      <c r="D60" s="114">
        <f t="shared" si="86"/>
        <v>197.88599148570617</v>
      </c>
      <c r="E60" s="119">
        <f>9222.277/4893.543*100</f>
        <v>188.45807628542349</v>
      </c>
      <c r="F60" s="59">
        <v>365336</v>
      </c>
      <c r="G60" s="32">
        <f t="shared" si="81"/>
        <v>72.078640663431656</v>
      </c>
      <c r="H60" s="91"/>
      <c r="I60" s="4"/>
      <c r="J60" s="4"/>
    </row>
    <row r="61" spans="1:10" ht="16.5" customHeight="1">
      <c r="A61" s="79">
        <v>43649</v>
      </c>
      <c r="B61" s="71">
        <v>199.18775600000001</v>
      </c>
      <c r="C61" s="117">
        <f t="shared" si="84"/>
        <v>198.59019273200002</v>
      </c>
      <c r="D61" s="117">
        <f t="shared" ref="D61:D67" si="87">1.003*B61</f>
        <v>199.78531926799999</v>
      </c>
      <c r="E61" s="118">
        <f>9270.543/4893.543*100</f>
        <v>189.44439642197892</v>
      </c>
      <c r="F61" s="31">
        <v>366730.40688500099</v>
      </c>
      <c r="G61" s="81">
        <f t="shared" si="81"/>
        <v>73.04820680439029</v>
      </c>
      <c r="H61" s="91"/>
      <c r="I61" s="4"/>
      <c r="J61" s="4"/>
    </row>
    <row r="62" spans="1:10" ht="16.5" customHeight="1">
      <c r="A62" s="79">
        <v>43642</v>
      </c>
      <c r="B62" s="71">
        <v>195.30076104095775</v>
      </c>
      <c r="C62" s="117">
        <f t="shared" si="84"/>
        <v>194.71485875783489</v>
      </c>
      <c r="D62" s="117">
        <f t="shared" si="87"/>
        <v>195.88666332408062</v>
      </c>
      <c r="E62" s="118">
        <f>9035.586/4893.543*100</f>
        <v>184.64302857868012</v>
      </c>
      <c r="F62" s="31">
        <v>366705.97238500102</v>
      </c>
      <c r="G62" s="81">
        <f t="shared" si="81"/>
        <v>71.617955485055134</v>
      </c>
      <c r="H62" s="91"/>
      <c r="I62" s="4"/>
      <c r="J62" s="4"/>
    </row>
    <row r="63" spans="1:10" ht="16.5" customHeight="1">
      <c r="A63" s="79">
        <v>43635</v>
      </c>
      <c r="B63" s="71">
        <v>196.29530026396904</v>
      </c>
      <c r="C63" s="117">
        <f t="shared" si="84"/>
        <v>195.70641436317715</v>
      </c>
      <c r="D63" s="117">
        <f t="shared" si="87"/>
        <v>196.88418616476093</v>
      </c>
      <c r="E63" s="118">
        <f>9046.264/4893.543*100</f>
        <v>184.8612344879773</v>
      </c>
      <c r="F63" s="31">
        <v>366705.97238500102</v>
      </c>
      <c r="G63" s="81">
        <f t="shared" si="81"/>
        <v>71.982658957904519</v>
      </c>
      <c r="H63" s="91"/>
      <c r="I63" s="4"/>
      <c r="J63" s="4"/>
    </row>
    <row r="64" spans="1:10" ht="16.5" customHeight="1">
      <c r="A64" s="79">
        <v>43628</v>
      </c>
      <c r="B64" s="71">
        <v>194.18053599999999</v>
      </c>
      <c r="C64" s="117">
        <f t="shared" ref="C64:C67" si="88">0.997*B64</f>
        <v>193.59799439199998</v>
      </c>
      <c r="D64" s="117">
        <f t="shared" si="87"/>
        <v>194.76307760799997</v>
      </c>
      <c r="E64" s="118">
        <f>8928.545/4893.543*100</f>
        <v>182.45563592677127</v>
      </c>
      <c r="F64" s="31">
        <v>366705.97238500102</v>
      </c>
      <c r="G64" s="81">
        <f t="shared" si="81"/>
        <v>71.207162272120698</v>
      </c>
      <c r="H64" s="91"/>
      <c r="I64" s="4"/>
      <c r="J64" s="4"/>
    </row>
    <row r="65" spans="1:10" ht="16.5" customHeight="1">
      <c r="A65" s="79">
        <v>43621</v>
      </c>
      <c r="B65" s="71">
        <v>192.239937</v>
      </c>
      <c r="C65" s="117">
        <f t="shared" si="88"/>
        <v>191.66321718899999</v>
      </c>
      <c r="D65" s="117">
        <f t="shared" si="87"/>
        <v>192.81665681099997</v>
      </c>
      <c r="E65" s="118">
        <f>8763.603/4893.543*100</f>
        <v>179.085031029665</v>
      </c>
      <c r="F65" s="31">
        <v>366705.97238500102</v>
      </c>
      <c r="G65" s="81">
        <f t="shared" si="81"/>
        <v>70.495533028816325</v>
      </c>
      <c r="H65" s="91"/>
      <c r="I65" s="4"/>
      <c r="J65" s="4"/>
    </row>
    <row r="66" spans="1:10" ht="16.5" customHeight="1">
      <c r="A66" s="79">
        <v>43614</v>
      </c>
      <c r="B66" s="71">
        <v>188.5469401540187</v>
      </c>
      <c r="C66" s="117">
        <f t="shared" si="88"/>
        <v>187.98129933355665</v>
      </c>
      <c r="D66" s="117">
        <f t="shared" si="87"/>
        <v>189.11258097448072</v>
      </c>
      <c r="E66" s="118">
        <f>8629.543/4893.543*100</f>
        <v>176.34550263479855</v>
      </c>
      <c r="F66" s="31">
        <v>366674.37208500103</v>
      </c>
      <c r="G66" s="81">
        <f t="shared" si="81"/>
        <v>69.135330889523075</v>
      </c>
      <c r="H66" s="91"/>
      <c r="I66" s="4"/>
      <c r="J66" s="4"/>
    </row>
    <row r="67" spans="1:10" ht="16.5" customHeight="1">
      <c r="A67" s="79">
        <v>43607</v>
      </c>
      <c r="B67" s="71">
        <v>191.78192000000001</v>
      </c>
      <c r="C67" s="117">
        <f t="shared" si="88"/>
        <v>191.20657424000001</v>
      </c>
      <c r="D67" s="117">
        <f t="shared" si="87"/>
        <v>192.35726575999999</v>
      </c>
      <c r="E67" s="118">
        <f>8820.865/4893.543*100</f>
        <v>180.25518525125867</v>
      </c>
      <c r="F67" s="31">
        <v>366674.37208500103</v>
      </c>
      <c r="G67" s="81">
        <f t="shared" si="81"/>
        <v>70.321515093255911</v>
      </c>
      <c r="H67" s="91"/>
      <c r="I67" s="4"/>
      <c r="J67" s="4"/>
    </row>
    <row r="68" spans="1:10" ht="16.5" customHeight="1">
      <c r="A68" s="35">
        <v>43600</v>
      </c>
      <c r="B68" s="69">
        <v>194.06294500000001</v>
      </c>
      <c r="C68" s="114">
        <f t="shared" ref="C68" si="89">0.997*B68</f>
        <v>193.480756165</v>
      </c>
      <c r="D68" s="114">
        <f t="shared" ref="D68" si="90">1.003*B68</f>
        <v>194.645133835</v>
      </c>
      <c r="E68" s="119">
        <f>8804.497/4893.543*100</f>
        <v>179.92070367012204</v>
      </c>
      <c r="F68" s="34">
        <v>367010</v>
      </c>
      <c r="G68" s="32">
        <f t="shared" si="81"/>
        <v>71.223041444450004</v>
      </c>
      <c r="H68" s="91"/>
      <c r="I68" s="4"/>
      <c r="J68" s="4"/>
    </row>
    <row r="69" spans="1:10" ht="16.5" customHeight="1">
      <c r="A69" s="79">
        <v>43593</v>
      </c>
      <c r="B69" s="71">
        <v>196.89828026156312</v>
      </c>
      <c r="C69" s="117">
        <f t="shared" ref="C69" si="91">0.997*B69</f>
        <v>196.30758542077842</v>
      </c>
      <c r="D69" s="117">
        <f t="shared" ref="D69" si="92">1.003*B69</f>
        <v>197.48897510234778</v>
      </c>
      <c r="E69" s="118">
        <f>8882.685/4893.543*100</f>
        <v>181.5184826208741</v>
      </c>
      <c r="F69" s="31">
        <v>366833.09759999998</v>
      </c>
      <c r="G69" s="81">
        <f t="shared" si="81"/>
        <v>72.228806060462134</v>
      </c>
      <c r="H69" s="91"/>
      <c r="I69" s="4"/>
      <c r="J69" s="4"/>
    </row>
    <row r="70" spans="1:10" ht="16.5" customHeight="1">
      <c r="A70" s="79">
        <v>43586</v>
      </c>
      <c r="B70" s="71">
        <v>201.20048807722415</v>
      </c>
      <c r="C70" s="117">
        <f t="shared" ref="C70:C73" si="93">0.997*B70</f>
        <v>200.59688661299248</v>
      </c>
      <c r="D70" s="117">
        <f t="shared" ref="D70:D73" si="94">1.003*B70</f>
        <v>201.8040895414558</v>
      </c>
      <c r="E70" s="118">
        <f>9034.011/4893.543*100</f>
        <v>184.61084330923424</v>
      </c>
      <c r="F70" s="31">
        <v>366833.09759999998</v>
      </c>
      <c r="G70" s="81">
        <f t="shared" si="81"/>
        <v>73.806998280000002</v>
      </c>
      <c r="H70" s="91"/>
      <c r="I70" s="4"/>
      <c r="J70" s="4"/>
    </row>
    <row r="71" spans="1:10" ht="16.5" customHeight="1">
      <c r="A71" s="79">
        <v>43579</v>
      </c>
      <c r="B71" s="71">
        <v>200.422527</v>
      </c>
      <c r="C71" s="117">
        <f t="shared" si="93"/>
        <v>199.821259419</v>
      </c>
      <c r="D71" s="117">
        <f t="shared" si="94"/>
        <v>201.02379458099998</v>
      </c>
      <c r="E71" s="118">
        <f>9023.611/4893.543*100</f>
        <v>184.39831835543291</v>
      </c>
      <c r="F71" s="31">
        <v>366807.69420000102</v>
      </c>
      <c r="G71" s="81">
        <f t="shared" si="81"/>
        <v>73.516524994607451</v>
      </c>
      <c r="H71" s="91"/>
      <c r="I71" s="4"/>
      <c r="J71" s="4"/>
    </row>
    <row r="72" spans="1:10" ht="16.5" customHeight="1">
      <c r="A72" s="79">
        <v>43572</v>
      </c>
      <c r="B72" s="71">
        <v>200.51815394059022</v>
      </c>
      <c r="C72" s="117">
        <f t="shared" si="93"/>
        <v>199.91659947876846</v>
      </c>
      <c r="D72" s="117">
        <f t="shared" si="94"/>
        <v>201.11970840241196</v>
      </c>
      <c r="E72" s="118">
        <f>8988.276/4893.543*100</f>
        <v>183.67624438980101</v>
      </c>
      <c r="F72" s="31">
        <v>368808.528500001</v>
      </c>
      <c r="G72" s="81">
        <f t="shared" si="81"/>
        <v>73.952805292365753</v>
      </c>
      <c r="H72" s="91"/>
      <c r="I72" s="4"/>
      <c r="J72" s="4"/>
    </row>
    <row r="73" spans="1:10" ht="16.5" customHeight="1">
      <c r="A73" s="35">
        <v>43565</v>
      </c>
      <c r="B73" s="68">
        <v>197.57952541809334</v>
      </c>
      <c r="C73" s="114">
        <f t="shared" si="93"/>
        <v>196.98678684183906</v>
      </c>
      <c r="D73" s="114">
        <f t="shared" si="94"/>
        <v>198.17226399434759</v>
      </c>
      <c r="E73" s="119">
        <f>8929.505/4893.543*100</f>
        <v>182.47525361481445</v>
      </c>
      <c r="F73" s="59">
        <v>373331.54</v>
      </c>
      <c r="G73" s="32">
        <f t="shared" si="81"/>
        <v>73.762668496805915</v>
      </c>
      <c r="H73" s="91"/>
      <c r="I73" s="4"/>
      <c r="J73" s="4"/>
    </row>
    <row r="74" spans="1:10" ht="16.5" customHeight="1">
      <c r="A74" s="79">
        <v>43558</v>
      </c>
      <c r="B74" s="71">
        <v>195.72503800000001</v>
      </c>
      <c r="C74" s="117">
        <f t="shared" ref="C74:C78" si="95">0.997*B74</f>
        <v>195.13786288600002</v>
      </c>
      <c r="D74" s="117">
        <f t="shared" ref="D74:D78" si="96">1.003*B74</f>
        <v>196.312213114</v>
      </c>
      <c r="E74" s="118">
        <f>8901.862/4893.543*100</f>
        <v>181.91036637462875</v>
      </c>
      <c r="F74" s="31">
        <v>373331.53180000099</v>
      </c>
      <c r="G74" s="81">
        <f t="shared" si="81"/>
        <v>73.070328248153402</v>
      </c>
      <c r="H74" s="91"/>
      <c r="I74" s="4"/>
      <c r="J74" s="4"/>
    </row>
    <row r="75" spans="1:10" ht="16.5" customHeight="1">
      <c r="A75" s="79">
        <v>43551</v>
      </c>
      <c r="B75" s="71">
        <v>191.50977239954665</v>
      </c>
      <c r="C75" s="117">
        <f t="shared" si="95"/>
        <v>190.93524308234799</v>
      </c>
      <c r="D75" s="117">
        <f t="shared" si="96"/>
        <v>192.08430171674527</v>
      </c>
      <c r="E75" s="118">
        <f>8693.653/4893.543*100</f>
        <v>177.65559636443371</v>
      </c>
      <c r="F75" s="31">
        <v>375989.07435478398</v>
      </c>
      <c r="G75" s="81">
        <f t="shared" si="81"/>
        <v>72.005582054400904</v>
      </c>
      <c r="H75" s="91"/>
      <c r="I75" s="4"/>
      <c r="J75" s="4"/>
    </row>
    <row r="76" spans="1:10" ht="16.5" customHeight="1">
      <c r="A76" s="35">
        <v>43544</v>
      </c>
      <c r="B76" s="68">
        <v>192.76531385813584</v>
      </c>
      <c r="C76" s="70">
        <f t="shared" si="95"/>
        <v>192.18701791656144</v>
      </c>
      <c r="D76" s="114">
        <f t="shared" si="96"/>
        <v>193.34360979971024</v>
      </c>
      <c r="E76" s="32">
        <f>8757.444/4893.543*100</f>
        <v>178.95917129981285</v>
      </c>
      <c r="F76" s="34">
        <v>353631.70525478397</v>
      </c>
      <c r="G76" s="32">
        <f t="shared" si="81"/>
        <v>68.167926653626225</v>
      </c>
      <c r="H76" s="91"/>
      <c r="I76" s="4"/>
      <c r="J76" s="4"/>
    </row>
    <row r="77" spans="1:10" ht="16.5" customHeight="1">
      <c r="A77" s="35">
        <v>43537</v>
      </c>
      <c r="B77" s="68">
        <v>193.06299191297003</v>
      </c>
      <c r="C77" s="111">
        <f t="shared" si="95"/>
        <v>192.48380293723113</v>
      </c>
      <c r="D77" s="111">
        <f t="shared" si="96"/>
        <v>193.64218088870894</v>
      </c>
      <c r="E77" s="91">
        <f>8685.39/4893.543*100</f>
        <v>177.48674120162019</v>
      </c>
      <c r="F77" s="34">
        <v>354938.83525478397</v>
      </c>
      <c r="G77" s="78">
        <f t="shared" si="81"/>
        <v>68.52555348039337</v>
      </c>
      <c r="H77" s="91"/>
      <c r="I77" s="4"/>
      <c r="J77" s="4"/>
    </row>
    <row r="78" spans="1:10" ht="16.5" customHeight="1">
      <c r="A78" s="35">
        <v>43530</v>
      </c>
      <c r="B78" s="68">
        <v>193.91931254103929</v>
      </c>
      <c r="C78" s="67">
        <f t="shared" si="95"/>
        <v>193.33755460341618</v>
      </c>
      <c r="D78" s="67">
        <f t="shared" si="96"/>
        <v>194.5010704786624</v>
      </c>
      <c r="E78" s="81">
        <f>8608.346/4893.543*100</f>
        <v>175.91233999578628</v>
      </c>
      <c r="F78" s="34">
        <v>353910.56345478399</v>
      </c>
      <c r="G78" s="81">
        <f t="shared" ref="G78:G83" si="97">F78*B78/1000000</f>
        <v>68.630093166163576</v>
      </c>
      <c r="H78" s="91"/>
      <c r="I78" s="4"/>
      <c r="J78" s="4"/>
    </row>
    <row r="79" spans="1:10" ht="16.5" customHeight="1">
      <c r="A79" s="35">
        <v>43523</v>
      </c>
      <c r="B79" s="68">
        <v>193.90600000000001</v>
      </c>
      <c r="C79" s="67">
        <f t="shared" ref="C79" si="98">0.997*B79</f>
        <v>193.32428200000001</v>
      </c>
      <c r="D79" s="67">
        <f t="shared" ref="D79" si="99">1.003*B79</f>
        <v>194.48771799999997</v>
      </c>
      <c r="E79" s="81">
        <f>8658.346/4893.543*100</f>
        <v>176.93409458136978</v>
      </c>
      <c r="F79" s="34">
        <v>353880.05</v>
      </c>
      <c r="G79" s="81">
        <f t="shared" si="97"/>
        <v>68.619464975300005</v>
      </c>
      <c r="H79" s="91"/>
      <c r="I79" s="4"/>
      <c r="J79" s="4"/>
    </row>
    <row r="80" spans="1:10" s="15" customFormat="1" ht="16.5" customHeight="1">
      <c r="A80" s="35">
        <v>43516</v>
      </c>
      <c r="B80" s="68">
        <v>192.03800000000001</v>
      </c>
      <c r="C80" s="67">
        <f t="shared" ref="C80" si="100">0.997*B80</f>
        <v>191.46188600000002</v>
      </c>
      <c r="D80" s="67">
        <f t="shared" ref="D80" si="101">1.003*B80</f>
        <v>192.614114</v>
      </c>
      <c r="E80" s="81">
        <f>8618.134/4893.543*100</f>
        <v>176.11235867346011</v>
      </c>
      <c r="F80" s="34">
        <v>353880.05</v>
      </c>
      <c r="G80" s="81">
        <f t="shared" si="97"/>
        <v>67.958417041900006</v>
      </c>
      <c r="H80" s="90"/>
      <c r="I80" s="14"/>
      <c r="J80" s="14"/>
    </row>
    <row r="81" spans="1:10" s="15" customFormat="1" ht="16.5" customHeight="1">
      <c r="A81" s="35">
        <v>43509</v>
      </c>
      <c r="B81" s="68">
        <v>192.25229999999999</v>
      </c>
      <c r="C81" s="67">
        <f t="shared" ref="C81" si="102">0.997*B81</f>
        <v>191.6755431</v>
      </c>
      <c r="D81" s="67">
        <f t="shared" ref="D81" si="103">1.003*B81</f>
        <v>192.82905689999998</v>
      </c>
      <c r="E81" s="81">
        <f>8484.801/4893.543*100</f>
        <v>173.38768659026803</v>
      </c>
      <c r="F81" s="34">
        <v>355966.91</v>
      </c>
      <c r="G81" s="81">
        <f t="shared" si="97"/>
        <v>68.435457171392997</v>
      </c>
      <c r="H81" s="90"/>
      <c r="I81" s="14"/>
      <c r="J81" s="14"/>
    </row>
    <row r="82" spans="1:10" s="15" customFormat="1" ht="16.5" customHeight="1">
      <c r="A82" s="35">
        <v>43502</v>
      </c>
      <c r="B82" s="68">
        <v>190.93899999999999</v>
      </c>
      <c r="C82" s="67">
        <f t="shared" ref="C82" si="104">0.997*B82</f>
        <v>190.36618300000001</v>
      </c>
      <c r="D82" s="67">
        <f t="shared" ref="D82" si="105">1.003*B82</f>
        <v>191.51181699999998</v>
      </c>
      <c r="E82" s="81">
        <f>8457.333/4893.543*100</f>
        <v>172.8263754911319</v>
      </c>
      <c r="F82" s="34">
        <v>355966.91</v>
      </c>
      <c r="G82" s="81">
        <f t="shared" si="97"/>
        <v>67.967965828489994</v>
      </c>
      <c r="H82" s="90"/>
      <c r="I82" s="14"/>
      <c r="J82" s="14"/>
    </row>
    <row r="83" spans="1:10" s="15" customFormat="1" ht="16.5" customHeight="1">
      <c r="A83" s="35">
        <v>43495</v>
      </c>
      <c r="B83" s="68">
        <v>190.21948</v>
      </c>
      <c r="C83" s="67">
        <f t="shared" ref="C83" si="106">0.997*B83</f>
        <v>189.64882156000002</v>
      </c>
      <c r="D83" s="67">
        <f t="shared" ref="D83" si="107">1.003*B83</f>
        <v>190.79013843999999</v>
      </c>
      <c r="E83" s="81">
        <f>8304.552/4893.543*100</f>
        <v>169.70428174433124</v>
      </c>
      <c r="F83" s="34">
        <v>355914.34</v>
      </c>
      <c r="G83" s="81">
        <f t="shared" si="97"/>
        <v>67.701840679343206</v>
      </c>
      <c r="H83" s="90"/>
      <c r="I83" s="14"/>
      <c r="J83" s="14"/>
    </row>
    <row r="84" spans="1:10" ht="16.5" customHeight="1">
      <c r="A84" s="35">
        <v>43488</v>
      </c>
      <c r="B84" s="68">
        <v>189.31010000000001</v>
      </c>
      <c r="C84" s="67">
        <f t="shared" ref="C84" si="108">0.997*B84</f>
        <v>188.74216970000001</v>
      </c>
      <c r="D84" s="67">
        <f t="shared" ref="D84" si="109">1.003*B84</f>
        <v>189.87803029999998</v>
      </c>
      <c r="E84" s="81">
        <f>8175.856/4893.543*100</f>
        <v>167.07436718140622</v>
      </c>
      <c r="F84" s="34">
        <v>355915.34</v>
      </c>
      <c r="G84" s="81">
        <f t="shared" ref="G84:G134" si="110">F84*B84/1000000</f>
        <v>67.378368606934018</v>
      </c>
      <c r="H84" s="91"/>
      <c r="I84" s="4"/>
      <c r="J84" s="4"/>
    </row>
    <row r="85" spans="1:10" s="15" customFormat="1" ht="16.5" customHeight="1">
      <c r="A85" s="35">
        <v>43481</v>
      </c>
      <c r="B85" s="68">
        <v>188.5445</v>
      </c>
      <c r="C85" s="67">
        <f t="shared" ref="C85" si="111">0.997*B85</f>
        <v>187.97886650000001</v>
      </c>
      <c r="D85" s="67">
        <f t="shared" ref="D85" si="112">1.003*B85</f>
        <v>189.11013349999999</v>
      </c>
      <c r="E85" s="81">
        <f>8117.911/4893.543*100</f>
        <v>165.89025579217349</v>
      </c>
      <c r="F85" s="34">
        <v>355868.97</v>
      </c>
      <c r="G85" s="81">
        <f t="shared" si="110"/>
        <v>67.097137014164986</v>
      </c>
      <c r="H85" s="90"/>
      <c r="I85" s="14"/>
      <c r="J85" s="14"/>
    </row>
    <row r="86" spans="1:10" s="15" customFormat="1" ht="16.5" customHeight="1">
      <c r="A86" s="35">
        <v>43474</v>
      </c>
      <c r="B86" s="68">
        <v>187.96870000000001</v>
      </c>
      <c r="C86" s="67">
        <f t="shared" ref="C86" si="113">0.997*B86</f>
        <v>187.40479390000002</v>
      </c>
      <c r="D86" s="67">
        <f t="shared" ref="D86" si="114">1.003*B86</f>
        <v>188.53260609999998</v>
      </c>
      <c r="E86" s="81">
        <f>8051.661/4893.543*100</f>
        <v>164.53643096627536</v>
      </c>
      <c r="F86" s="34">
        <v>355868.97</v>
      </c>
      <c r="G86" s="81">
        <f t="shared" si="110"/>
        <v>66.892227661239005</v>
      </c>
      <c r="H86" s="90"/>
      <c r="I86" s="14"/>
      <c r="J86" s="14"/>
    </row>
    <row r="87" spans="1:10" s="15" customFormat="1" ht="16.5" customHeight="1">
      <c r="A87" s="35">
        <v>43467</v>
      </c>
      <c r="B87" s="68">
        <v>180.934</v>
      </c>
      <c r="C87" s="67">
        <f t="shared" ref="C87" si="115">0.997*B87</f>
        <v>180.391198</v>
      </c>
      <c r="D87" s="67">
        <f t="shared" ref="D87" si="116">1.003*B87</f>
        <v>181.47680199999996</v>
      </c>
      <c r="E87" s="81">
        <f>7760.371/4893.543*100</f>
        <v>158.58389310158304</v>
      </c>
      <c r="F87" s="34">
        <v>355868.97</v>
      </c>
      <c r="G87" s="81">
        <f t="shared" si="110"/>
        <v>64.388796217980001</v>
      </c>
      <c r="H87" s="90"/>
      <c r="I87" s="14"/>
      <c r="J87" s="14"/>
    </row>
    <row r="88" spans="1:10" s="15" customFormat="1" ht="16.5" customHeight="1">
      <c r="A88" s="35">
        <v>43465</v>
      </c>
      <c r="B88" s="68">
        <v>180.81440000000001</v>
      </c>
      <c r="C88" s="67">
        <f t="shared" ref="C88" si="117">0.997*B88</f>
        <v>180.2719568</v>
      </c>
      <c r="D88" s="67">
        <f t="shared" ref="D88" si="118">1.003*B88</f>
        <v>181.35684319999999</v>
      </c>
      <c r="E88" s="81">
        <f>7771.1/4893.543*100</f>
        <v>158.80314120055758</v>
      </c>
      <c r="F88" s="34">
        <v>355829.88</v>
      </c>
      <c r="G88" s="81">
        <f t="shared" si="110"/>
        <v>64.339166254272001</v>
      </c>
      <c r="H88" s="90"/>
      <c r="I88" s="14"/>
      <c r="J88" s="14"/>
    </row>
    <row r="89" spans="1:10" s="15" customFormat="1" ht="16.5" customHeight="1">
      <c r="A89" s="35">
        <v>43460</v>
      </c>
      <c r="B89" s="68">
        <v>177.67660000000001</v>
      </c>
      <c r="C89" s="67">
        <f t="shared" ref="C89" si="119">0.997*B89</f>
        <v>177.1435702</v>
      </c>
      <c r="D89" s="67">
        <f t="shared" ref="D89" si="120">1.003*B89</f>
        <v>178.20962979999999</v>
      </c>
      <c r="E89" s="81">
        <f>7631.357/4893.543*100</f>
        <v>155.94748017949368</v>
      </c>
      <c r="F89" s="34">
        <v>355829.88</v>
      </c>
      <c r="G89" s="81">
        <f t="shared" si="110"/>
        <v>63.222643256808006</v>
      </c>
      <c r="H89" s="90"/>
      <c r="I89" s="14"/>
      <c r="J89" s="14"/>
    </row>
    <row r="90" spans="1:10" s="15" customFormat="1" ht="16.5" customHeight="1">
      <c r="A90" s="35">
        <v>43453</v>
      </c>
      <c r="B90" s="68">
        <v>180.4896</v>
      </c>
      <c r="C90" s="67">
        <f t="shared" ref="C90" si="121">0.997*B90</f>
        <v>179.94813120000001</v>
      </c>
      <c r="D90" s="67">
        <f t="shared" ref="D90" si="122">1.003*B90</f>
        <v>181.03106879999999</v>
      </c>
      <c r="E90" s="81">
        <f>7802.776/4893.543*100</f>
        <v>159.45044316561641</v>
      </c>
      <c r="F90" s="34">
        <v>358052.75</v>
      </c>
      <c r="G90" s="81">
        <f t="shared" si="110"/>
        <v>64.624797626399996</v>
      </c>
      <c r="H90" s="90"/>
      <c r="I90" s="14"/>
      <c r="J90" s="14"/>
    </row>
    <row r="91" spans="1:10" s="15" customFormat="1" ht="16.5" customHeight="1">
      <c r="A91" s="35">
        <v>43446</v>
      </c>
      <c r="B91" s="68">
        <v>186.57480000000001</v>
      </c>
      <c r="C91" s="67">
        <f t="shared" ref="C91" si="123">0.997*B91</f>
        <v>186.01507560000002</v>
      </c>
      <c r="D91" s="67">
        <f t="shared" ref="D91" si="124">1.003*B91</f>
        <v>187.1345244</v>
      </c>
      <c r="E91" s="81">
        <f>8141.97/4893.543*100</f>
        <v>166.38190366366456</v>
      </c>
      <c r="F91" s="34">
        <v>358052.75</v>
      </c>
      <c r="G91" s="81">
        <f t="shared" si="110"/>
        <v>66.803620220699997</v>
      </c>
      <c r="H91" s="90"/>
      <c r="I91" s="14"/>
      <c r="J91" s="14"/>
    </row>
    <row r="92" spans="1:10" s="15" customFormat="1" ht="16.5" customHeight="1">
      <c r="A92" s="35">
        <v>43439</v>
      </c>
      <c r="B92" s="68">
        <v>192.48859999999999</v>
      </c>
      <c r="C92" s="67">
        <f t="shared" ref="C92" si="125">0.997*B92</f>
        <v>191.91113419999999</v>
      </c>
      <c r="D92" s="67">
        <f t="shared" ref="D92" si="126">1.003*B92</f>
        <v>193.06606579999996</v>
      </c>
      <c r="E92" s="81">
        <f>8273.738/4893.543*100</f>
        <v>169.07459482832786</v>
      </c>
      <c r="F92" s="34">
        <v>358052.75</v>
      </c>
      <c r="G92" s="81">
        <f t="shared" si="110"/>
        <v>68.921072573650008</v>
      </c>
      <c r="H92" s="90"/>
      <c r="I92" s="14"/>
      <c r="J92" s="14"/>
    </row>
    <row r="93" spans="1:10" s="15" customFormat="1" ht="16.5" customHeight="1">
      <c r="A93" s="35">
        <v>43432</v>
      </c>
      <c r="B93" s="68">
        <v>193.06020000000001</v>
      </c>
      <c r="C93" s="67">
        <f t="shared" ref="C93" si="127">0.997*B93</f>
        <v>192.48101940000001</v>
      </c>
      <c r="D93" s="67">
        <f t="shared" ref="D93" si="128">1.003*B93</f>
        <v>193.63938059999998</v>
      </c>
      <c r="E93" s="81">
        <f>8357.623/4893.543*100</f>
        <v>170.78879249656129</v>
      </c>
      <c r="F93" s="34">
        <v>358019.02</v>
      </c>
      <c r="G93" s="81">
        <f t="shared" si="110"/>
        <v>69.119223605004009</v>
      </c>
      <c r="H93" s="90"/>
      <c r="I93" s="14"/>
      <c r="J93" s="14"/>
    </row>
    <row r="94" spans="1:10" s="15" customFormat="1" ht="16.5" customHeight="1">
      <c r="A94" s="35">
        <v>43425</v>
      </c>
      <c r="B94" s="68">
        <v>192.61580000000001</v>
      </c>
      <c r="C94" s="67">
        <f t="shared" ref="C94" si="129">0.997*B94</f>
        <v>192.03795260000001</v>
      </c>
      <c r="D94" s="67">
        <f t="shared" ref="D94" si="130">1.003*B94</f>
        <v>193.19364739999997</v>
      </c>
      <c r="E94" s="81">
        <f>8169.56/4893.543*100</f>
        <v>166.94570784398954</v>
      </c>
      <c r="F94" s="34">
        <v>358019.02</v>
      </c>
      <c r="G94" s="81">
        <f t="shared" si="110"/>
        <v>68.96011995251601</v>
      </c>
      <c r="H94" s="90"/>
      <c r="I94" s="14"/>
      <c r="J94" s="14"/>
    </row>
    <row r="95" spans="1:10" s="15" customFormat="1" ht="16.5" customHeight="1">
      <c r="A95" s="35">
        <v>43418</v>
      </c>
      <c r="B95" s="68">
        <v>196.38650000000001</v>
      </c>
      <c r="C95" s="67">
        <f t="shared" ref="C95" si="131">0.997*B95</f>
        <v>195.79734050000002</v>
      </c>
      <c r="D95" s="67">
        <f t="shared" ref="D95" si="132">1.003*B95</f>
        <v>196.97565949999998</v>
      </c>
      <c r="E95" s="81">
        <f>8290.175/4893.543*100</f>
        <v>169.41048643079256</v>
      </c>
      <c r="F95" s="34">
        <v>354972.96</v>
      </c>
      <c r="G95" s="81">
        <f t="shared" si="110"/>
        <v>69.711897209040004</v>
      </c>
      <c r="H95" s="90"/>
      <c r="I95" s="14"/>
      <c r="J95" s="14"/>
    </row>
    <row r="96" spans="1:10" s="15" customFormat="1" ht="16.5" customHeight="1">
      <c r="A96" s="35">
        <v>43411</v>
      </c>
      <c r="B96" s="68">
        <v>202.12819999999999</v>
      </c>
      <c r="C96" s="67">
        <f t="shared" ref="C96" si="133">0.997*B96</f>
        <v>201.52181539999998</v>
      </c>
      <c r="D96" s="67">
        <f t="shared" ref="D96" si="134">1.003*B96</f>
        <v>202.73458459999998</v>
      </c>
      <c r="E96" s="81">
        <f>8567.518/4893.543*100</f>
        <v>175.07801607138225</v>
      </c>
      <c r="F96" s="34">
        <v>354972.96</v>
      </c>
      <c r="G96" s="81">
        <f t="shared" si="110"/>
        <v>71.750045453471998</v>
      </c>
      <c r="H96" s="90"/>
      <c r="I96" s="14"/>
      <c r="J96" s="14"/>
    </row>
    <row r="97" spans="1:10" s="15" customFormat="1" ht="16.5" customHeight="1">
      <c r="A97" s="35">
        <v>43404</v>
      </c>
      <c r="B97" s="68">
        <v>199.93450000000001</v>
      </c>
      <c r="C97" s="67">
        <f t="shared" ref="C97" si="135">0.997*B97</f>
        <v>199.33469650000001</v>
      </c>
      <c r="D97" s="67">
        <f t="shared" ref="D97" si="136">1.003*B97</f>
        <v>200.53430349999999</v>
      </c>
      <c r="E97" s="81">
        <f>8309.11/4893.543*100</f>
        <v>169.79742489235306</v>
      </c>
      <c r="F97" s="34">
        <v>348199.47</v>
      </c>
      <c r="G97" s="81">
        <f t="shared" si="110"/>
        <v>69.617086934715005</v>
      </c>
      <c r="H97" s="90"/>
      <c r="I97" s="14"/>
      <c r="J97" s="14"/>
    </row>
    <row r="98" spans="1:10" ht="16.5" customHeight="1">
      <c r="A98" s="35">
        <v>43397</v>
      </c>
      <c r="B98" s="68">
        <v>192.68870000000001</v>
      </c>
      <c r="C98" s="67">
        <f t="shared" ref="C98" si="137">0.997*B98</f>
        <v>192.11063390000001</v>
      </c>
      <c r="D98" s="67">
        <f t="shared" ref="D98" si="138">1.003*B98</f>
        <v>193.26676609999998</v>
      </c>
      <c r="E98" s="81">
        <f>8170.622/4893.543*100</f>
        <v>166.96740991138734</v>
      </c>
      <c r="F98" s="34">
        <v>348199.47</v>
      </c>
      <c r="G98" s="81">
        <f t="shared" si="110"/>
        <v>67.094103214989005</v>
      </c>
      <c r="H98" s="91"/>
      <c r="I98" s="4"/>
      <c r="J98" s="4"/>
    </row>
    <row r="99" spans="1:10" s="15" customFormat="1" ht="16.5" customHeight="1">
      <c r="A99" s="35">
        <v>43390</v>
      </c>
      <c r="B99" s="68">
        <v>199.43860000000001</v>
      </c>
      <c r="C99" s="67">
        <f t="shared" ref="C99" si="139">0.997*B99</f>
        <v>198.84028420000001</v>
      </c>
      <c r="D99" s="67">
        <f t="shared" ref="D99" si="140">1.003*B99</f>
        <v>200.03691579999997</v>
      </c>
      <c r="E99" s="81">
        <f>8583.494/4893.543*100</f>
        <v>175.40448709656789</v>
      </c>
      <c r="F99" s="34">
        <v>348199.47</v>
      </c>
      <c r="G99" s="81">
        <f t="shared" si="110"/>
        <v>69.444414817541997</v>
      </c>
      <c r="H99" s="90"/>
      <c r="I99" s="14"/>
      <c r="J99" s="14"/>
    </row>
    <row r="100" spans="1:10" s="15" customFormat="1" ht="16.5" customHeight="1">
      <c r="A100" s="35">
        <v>43383</v>
      </c>
      <c r="B100" s="68">
        <v>198.1626</v>
      </c>
      <c r="C100" s="67">
        <f t="shared" ref="C100" si="141">0.997*B100</f>
        <v>197.5681122</v>
      </c>
      <c r="D100" s="67">
        <f t="shared" ref="D100" si="142">1.003*B100</f>
        <v>198.75708779999997</v>
      </c>
      <c r="E100" s="81">
        <f>8580.012/4893.543*100</f>
        <v>175.33333210722785</v>
      </c>
      <c r="F100" s="34">
        <v>348199.47</v>
      </c>
      <c r="G100" s="81">
        <f t="shared" si="110"/>
        <v>69.000112293821985</v>
      </c>
      <c r="H100" s="90"/>
      <c r="I100" s="14"/>
      <c r="J100" s="14"/>
    </row>
    <row r="101" spans="1:10" s="15" customFormat="1" ht="16.5" customHeight="1">
      <c r="A101" s="35">
        <v>43376</v>
      </c>
      <c r="B101" s="68">
        <v>209.606775</v>
      </c>
      <c r="C101" s="67">
        <f t="shared" ref="C101" si="143">0.997*B101</f>
        <v>208.97795467500001</v>
      </c>
      <c r="D101" s="67">
        <f t="shared" ref="D101" si="144">1.003*B101</f>
        <v>210.23559532499996</v>
      </c>
      <c r="E101" s="81">
        <f>8964.141/4893.543*100</f>
        <v>183.18304345133987</v>
      </c>
      <c r="F101" s="34">
        <v>348199</v>
      </c>
      <c r="G101" s="81">
        <f t="shared" si="110"/>
        <v>72.984869448225012</v>
      </c>
      <c r="H101" s="90"/>
      <c r="I101" s="14"/>
      <c r="J101" s="14"/>
    </row>
    <row r="102" spans="1:10" ht="16.5" customHeight="1">
      <c r="A102" s="35">
        <v>43369</v>
      </c>
      <c r="B102" s="68">
        <v>213.24250000000001</v>
      </c>
      <c r="C102" s="67">
        <f t="shared" ref="C102" si="145">0.997*B102</f>
        <v>212.60277250000001</v>
      </c>
      <c r="D102" s="67">
        <f t="shared" ref="D102" si="146">1.003*B102</f>
        <v>213.88222749999997</v>
      </c>
      <c r="E102" s="81">
        <f>8985/4893.543*100</f>
        <v>183.60929902935359</v>
      </c>
      <c r="F102" s="34">
        <v>348166.41</v>
      </c>
      <c r="G102" s="81">
        <f t="shared" si="110"/>
        <v>74.243875684424992</v>
      </c>
      <c r="H102" s="91"/>
      <c r="I102" s="4"/>
      <c r="J102" s="4"/>
    </row>
    <row r="103" spans="1:10" s="15" customFormat="1" ht="16.5" customHeight="1">
      <c r="A103" s="35">
        <v>43362</v>
      </c>
      <c r="B103" s="68">
        <v>211.8511</v>
      </c>
      <c r="C103" s="67">
        <f t="shared" ref="C103" si="147">0.997*B103</f>
        <v>211.2155467</v>
      </c>
      <c r="D103" s="67">
        <f t="shared" ref="D103" si="148">1.003*B103</f>
        <v>212.48665329999997</v>
      </c>
      <c r="E103" s="81">
        <f>8929.819/4893.543*100</f>
        <v>182.48167023361194</v>
      </c>
      <c r="F103" s="34">
        <v>348166.41</v>
      </c>
      <c r="G103" s="81">
        <f t="shared" si="110"/>
        <v>73.759436941551002</v>
      </c>
      <c r="H103" s="90"/>
      <c r="I103" s="14"/>
      <c r="J103" s="14"/>
    </row>
    <row r="104" spans="1:10" s="15" customFormat="1" ht="16.5" customHeight="1">
      <c r="A104" s="35">
        <v>43355</v>
      </c>
      <c r="B104" s="68">
        <v>211.58349999999999</v>
      </c>
      <c r="C104" s="67">
        <f t="shared" ref="C104" si="149">0.997*B104</f>
        <v>210.94874949999999</v>
      </c>
      <c r="D104" s="67">
        <f t="shared" ref="D104" si="150">1.003*B104</f>
        <v>212.21825049999995</v>
      </c>
      <c r="E104" s="81">
        <f>8823.63/4893.543*100</f>
        <v>180.31168827984141</v>
      </c>
      <c r="F104" s="34">
        <v>348166.41</v>
      </c>
      <c r="G104" s="81">
        <f t="shared" si="110"/>
        <v>73.666267610234996</v>
      </c>
      <c r="H104" s="90"/>
      <c r="I104" s="14"/>
      <c r="J104" s="14"/>
    </row>
    <row r="105" spans="1:10" s="15" customFormat="1" ht="16.5" customHeight="1">
      <c r="A105" s="35">
        <v>43348</v>
      </c>
      <c r="B105" s="68">
        <v>213.70150000000001</v>
      </c>
      <c r="C105" s="67">
        <f t="shared" ref="C105" si="151">0.997*B105</f>
        <v>213.0603955</v>
      </c>
      <c r="D105" s="67">
        <f t="shared" ref="D105" si="152">1.003*B105</f>
        <v>214.34260449999999</v>
      </c>
      <c r="E105" s="81">
        <f>8819.759/4893.543*100</f>
        <v>180.23258403982555</v>
      </c>
      <c r="F105" s="34">
        <v>348166.41</v>
      </c>
      <c r="G105" s="81">
        <f t="shared" si="110"/>
        <v>74.403684066615</v>
      </c>
      <c r="H105" s="90"/>
      <c r="I105" s="14"/>
      <c r="J105" s="14"/>
    </row>
    <row r="106" spans="1:10" s="15" customFormat="1" ht="16.5" customHeight="1">
      <c r="A106" s="35">
        <v>43341</v>
      </c>
      <c r="B106" s="68">
        <v>216.0976</v>
      </c>
      <c r="C106" s="67">
        <f t="shared" ref="C106" si="153">0.997*B106</f>
        <v>215.44930719999999</v>
      </c>
      <c r="D106" s="67">
        <f t="shared" ref="D106" si="154">1.003*B106</f>
        <v>216.74589279999998</v>
      </c>
      <c r="E106" s="81">
        <f>8972.524/4893.543*100</f>
        <v>183.35435082515878</v>
      </c>
      <c r="F106" s="34">
        <v>348124.75</v>
      </c>
      <c r="G106" s="81">
        <f t="shared" si="110"/>
        <v>75.2289229756</v>
      </c>
      <c r="H106" s="90"/>
      <c r="I106" s="14"/>
      <c r="J106" s="14"/>
    </row>
    <row r="107" spans="1:10" s="15" customFormat="1" ht="16.5" customHeight="1">
      <c r="A107" s="35">
        <v>43334</v>
      </c>
      <c r="B107" s="68">
        <v>217.73859999999999</v>
      </c>
      <c r="C107" s="67">
        <f t="shared" ref="C107" si="155">0.997*B107</f>
        <v>217.08538419999999</v>
      </c>
      <c r="D107" s="67">
        <f t="shared" ref="D107" si="156">1.003*B107</f>
        <v>218.39181579999996</v>
      </c>
      <c r="E107" s="81">
        <f>8827.36/4893.543*100</f>
        <v>180.38791117192596</v>
      </c>
      <c r="F107" s="34">
        <v>348124.75</v>
      </c>
      <c r="G107" s="81">
        <f t="shared" si="110"/>
        <v>75.800195690349994</v>
      </c>
      <c r="H107" s="90"/>
      <c r="I107" s="14"/>
      <c r="J107" s="14"/>
    </row>
    <row r="108" spans="1:10" s="15" customFormat="1" ht="16.5" customHeight="1">
      <c r="A108" s="35">
        <v>43327</v>
      </c>
      <c r="B108" s="68">
        <v>211.73208500000001</v>
      </c>
      <c r="C108" s="67">
        <f t="shared" ref="C108" si="157">0.997*B108</f>
        <v>211.096888745</v>
      </c>
      <c r="D108" s="67">
        <f t="shared" ref="D108" si="158">1.003*B108</f>
        <v>212.36728125499999</v>
      </c>
      <c r="E108" s="81">
        <f>8657.633/4893.543*100</f>
        <v>176.91952436097938</v>
      </c>
      <c r="F108" s="34">
        <v>348124.74530000001</v>
      </c>
      <c r="G108" s="81">
        <f t="shared" si="110"/>
        <v>73.709178162462948</v>
      </c>
      <c r="H108" s="90"/>
      <c r="I108" s="14"/>
      <c r="J108" s="14"/>
    </row>
    <row r="109" spans="1:10" ht="16.5" customHeight="1">
      <c r="A109" s="35">
        <v>43320</v>
      </c>
      <c r="B109" s="68">
        <v>214.48749799999999</v>
      </c>
      <c r="C109" s="67">
        <f t="shared" ref="C109" si="159">0.997*B109</f>
        <v>213.84403550599998</v>
      </c>
      <c r="D109" s="67">
        <f t="shared" ref="D109" si="160">1.003*B109</f>
        <v>215.13096049399996</v>
      </c>
      <c r="E109" s="81">
        <f>8855.145/4893.543*100</f>
        <v>180.95570019513471</v>
      </c>
      <c r="F109" s="34">
        <v>348124.74530000001</v>
      </c>
      <c r="G109" s="81">
        <f t="shared" si="110"/>
        <v>74.668405611284257</v>
      </c>
      <c r="H109" s="91"/>
      <c r="I109" s="4"/>
      <c r="J109" s="4"/>
    </row>
    <row r="110" spans="1:10" ht="16.5" customHeight="1">
      <c r="A110" s="35">
        <v>43313</v>
      </c>
      <c r="B110" s="68">
        <v>215.58279400000001</v>
      </c>
      <c r="C110" s="67">
        <f t="shared" ref="C110" si="161">0.997*B110</f>
        <v>214.93604561800001</v>
      </c>
      <c r="D110" s="67">
        <f t="shared" ref="D110" si="162">1.003*B110</f>
        <v>216.22954238199998</v>
      </c>
      <c r="E110" s="81">
        <f>8783.723/4893.543*100</f>
        <v>179.49618507490382</v>
      </c>
      <c r="F110" s="34">
        <v>350451.01919999998</v>
      </c>
      <c r="G110" s="81">
        <f t="shared" si="110"/>
        <v>75.551209879283633</v>
      </c>
      <c r="H110" s="91"/>
      <c r="I110" s="4"/>
      <c r="J110" s="4"/>
    </row>
    <row r="111" spans="1:10" ht="16.5" customHeight="1">
      <c r="A111" s="35">
        <v>43306</v>
      </c>
      <c r="B111" s="68">
        <v>218.113865</v>
      </c>
      <c r="C111" s="67">
        <f t="shared" ref="C111" si="163">0.997*B111</f>
        <v>217.459523405</v>
      </c>
      <c r="D111" s="67">
        <f t="shared" ref="D111" si="164">1.003*B111</f>
        <v>218.76820659499998</v>
      </c>
      <c r="E111" s="81">
        <f>8832.601/4893.543*100</f>
        <v>180.49501148758682</v>
      </c>
      <c r="F111" s="34">
        <v>350416.77</v>
      </c>
      <c r="G111" s="81">
        <f t="shared" si="110"/>
        <v>76.43075606551605</v>
      </c>
      <c r="H111" s="91"/>
      <c r="I111" s="4"/>
      <c r="J111" s="4"/>
    </row>
    <row r="112" spans="1:10" s="15" customFormat="1" ht="16.5" customHeight="1">
      <c r="A112" s="35">
        <v>43299</v>
      </c>
      <c r="B112" s="68">
        <v>215.1611</v>
      </c>
      <c r="C112" s="67">
        <f t="shared" ref="C112" si="165">0.997*B112</f>
        <v>214.51561670000001</v>
      </c>
      <c r="D112" s="67">
        <f t="shared" ref="D112" si="166">1.003*B112</f>
        <v>215.80658329999997</v>
      </c>
      <c r="E112" s="81">
        <f>8751.299/4893.543*100</f>
        <v>178.83359766124465</v>
      </c>
      <c r="F112" s="34">
        <v>350416.77</v>
      </c>
      <c r="G112" s="81">
        <f t="shared" si="110"/>
        <v>75.396057691647002</v>
      </c>
      <c r="H112" s="90"/>
      <c r="I112" s="14"/>
      <c r="J112" s="14"/>
    </row>
    <row r="113" spans="1:10" s="15" customFormat="1" ht="16.5" customHeight="1">
      <c r="A113" s="35">
        <v>43292</v>
      </c>
      <c r="B113" s="68">
        <v>213.1403</v>
      </c>
      <c r="C113" s="67">
        <f t="shared" ref="C113" si="167">0.997*B113</f>
        <v>212.50087909999999</v>
      </c>
      <c r="D113" s="67">
        <f t="shared" ref="D113" si="168">1.003*B113</f>
        <v>213.77972089999997</v>
      </c>
      <c r="E113" s="81">
        <f>8648.493/4893.543*100</f>
        <v>176.73274762273473</v>
      </c>
      <c r="F113" s="34">
        <v>350346.25</v>
      </c>
      <c r="G113" s="81">
        <f t="shared" si="110"/>
        <v>74.672904828875005</v>
      </c>
      <c r="H113" s="90"/>
      <c r="I113" s="14"/>
      <c r="J113" s="14"/>
    </row>
    <row r="114" spans="1:10" s="15" customFormat="1" ht="16.5" customHeight="1">
      <c r="A114" s="35">
        <v>43285</v>
      </c>
      <c r="B114" s="68">
        <v>210.31960000000001</v>
      </c>
      <c r="C114" s="67">
        <f t="shared" ref="C114" si="169">0.997*B114</f>
        <v>209.68864120000001</v>
      </c>
      <c r="D114" s="67">
        <f t="shared" ref="D114" si="170">1.003*B114</f>
        <v>210.95055879999998</v>
      </c>
      <c r="E114" s="81">
        <f>8501.66/4893.543*100</f>
        <v>173.73220180143508</v>
      </c>
      <c r="F114" s="34">
        <v>350346.25</v>
      </c>
      <c r="G114" s="81">
        <f t="shared" si="110"/>
        <v>73.684683161500004</v>
      </c>
      <c r="H114" s="90"/>
      <c r="I114" s="14"/>
      <c r="J114" s="14"/>
    </row>
    <row r="115" spans="1:10" s="15" customFormat="1" ht="16.5" customHeight="1">
      <c r="A115" s="35">
        <v>43278</v>
      </c>
      <c r="B115" s="68">
        <v>209.86320000000001</v>
      </c>
      <c r="C115" s="67">
        <f t="shared" ref="C115" si="171">0.997*B115</f>
        <v>209.2336104</v>
      </c>
      <c r="D115" s="67">
        <f t="shared" ref="D115" si="172">1.003*B115</f>
        <v>210.49278959999998</v>
      </c>
      <c r="E115" s="81">
        <f>8474.665/4893.543*100</f>
        <v>173.18055650067859</v>
      </c>
      <c r="F115" s="34">
        <v>349977.35</v>
      </c>
      <c r="G115" s="81">
        <f t="shared" si="110"/>
        <v>73.447366598519991</v>
      </c>
      <c r="H115" s="90"/>
      <c r="I115" s="14"/>
      <c r="J115" s="14"/>
    </row>
    <row r="116" spans="1:10" s="15" customFormat="1" ht="16.5" customHeight="1">
      <c r="A116" s="35">
        <v>43271</v>
      </c>
      <c r="B116" s="68">
        <v>215.24610000000001</v>
      </c>
      <c r="C116" s="67">
        <f t="shared" ref="C116" si="173">0.997*B116</f>
        <v>214.60036170000001</v>
      </c>
      <c r="D116" s="67">
        <f t="shared" ref="D116" si="174">1.003*B116</f>
        <v>215.89183829999999</v>
      </c>
      <c r="E116" s="81">
        <f>8641.505/4893.543*100</f>
        <v>176.58994720185353</v>
      </c>
      <c r="F116" s="34">
        <v>349977.35</v>
      </c>
      <c r="G116" s="81">
        <f t="shared" si="110"/>
        <v>75.331259675835</v>
      </c>
      <c r="H116" s="90"/>
      <c r="I116" s="14"/>
      <c r="J116" s="14"/>
    </row>
    <row r="117" spans="1:10" s="15" customFormat="1" ht="16.5" customHeight="1">
      <c r="A117" s="35">
        <v>43264</v>
      </c>
      <c r="B117" s="68">
        <v>219.04480000000001</v>
      </c>
      <c r="C117" s="67">
        <f t="shared" ref="C117" si="175">0.997*B117</f>
        <v>218.38766560000002</v>
      </c>
      <c r="D117" s="67">
        <f t="shared" ref="D117" si="176">1.003*B117</f>
        <v>219.7019344</v>
      </c>
      <c r="E117" s="81">
        <f>8729.631/4893.543*100</f>
        <v>178.39081009403617</v>
      </c>
      <c r="F117" s="31">
        <v>348839.45</v>
      </c>
      <c r="G117" s="81">
        <f t="shared" si="110"/>
        <v>76.411467557360012</v>
      </c>
      <c r="H117" s="90"/>
      <c r="I117" s="14"/>
      <c r="J117" s="14"/>
    </row>
    <row r="118" spans="1:10" s="15" customFormat="1" ht="16.5" customHeight="1">
      <c r="A118" s="35">
        <v>43257</v>
      </c>
      <c r="B118" s="68">
        <v>220.09559999999999</v>
      </c>
      <c r="C118" s="67">
        <f t="shared" ref="C118" si="177">0.997*B118</f>
        <v>219.4353132</v>
      </c>
      <c r="D118" s="67">
        <f t="shared" ref="D118" si="178">1.003*B118</f>
        <v>220.75588679999996</v>
      </c>
      <c r="E118" s="81">
        <f>8711.915/4893.543*100</f>
        <v>178.02878200927225</v>
      </c>
      <c r="F118" s="31">
        <v>328502.2</v>
      </c>
      <c r="G118" s="81">
        <f t="shared" si="110"/>
        <v>72.301888810320008</v>
      </c>
      <c r="H118" s="90"/>
      <c r="I118" s="14"/>
      <c r="J118" s="14"/>
    </row>
    <row r="119" spans="1:10" s="15" customFormat="1" ht="16.5" customHeight="1">
      <c r="A119" s="35">
        <v>43250</v>
      </c>
      <c r="B119" s="68">
        <v>211.50450000000001</v>
      </c>
      <c r="C119" s="67">
        <f t="shared" ref="C119" si="179">0.997*B119</f>
        <v>210.86998650000001</v>
      </c>
      <c r="D119" s="67">
        <f t="shared" ref="D119" si="180">1.003*B119</f>
        <v>212.13901349999998</v>
      </c>
      <c r="E119" s="81">
        <f>8559.932/4893.543*100</f>
        <v>174.92299546565752</v>
      </c>
      <c r="F119" s="31">
        <v>326990.05</v>
      </c>
      <c r="G119" s="81">
        <f t="shared" si="110"/>
        <v>69.159867030224987</v>
      </c>
      <c r="H119" s="90"/>
      <c r="I119" s="14"/>
      <c r="J119" s="14"/>
    </row>
    <row r="120" spans="1:10" s="15" customFormat="1" ht="16.5" customHeight="1">
      <c r="A120" s="35">
        <v>43243</v>
      </c>
      <c r="B120" s="68">
        <v>213.52209999999999</v>
      </c>
      <c r="C120" s="67">
        <f t="shared" ref="C120" si="181">0.997*B120</f>
        <v>212.88153370000001</v>
      </c>
      <c r="D120" s="67">
        <f t="shared" ref="D120" si="182">1.003*B120</f>
        <v>214.16266629999998</v>
      </c>
      <c r="E120" s="81">
        <f>8645.928/4893.543*100</f>
        <v>176.68033161249429</v>
      </c>
      <c r="F120" s="31">
        <v>325589.25</v>
      </c>
      <c r="G120" s="81">
        <f t="shared" si="110"/>
        <v>69.520500397424996</v>
      </c>
      <c r="H120" s="90"/>
      <c r="I120" s="14"/>
      <c r="J120" s="14"/>
    </row>
    <row r="121" spans="1:10" s="15" customFormat="1" ht="16.5" customHeight="1">
      <c r="A121" s="35">
        <v>43236</v>
      </c>
      <c r="B121" s="68">
        <v>214.5257</v>
      </c>
      <c r="C121" s="67">
        <f t="shared" ref="C121" si="183">0.997*B121</f>
        <v>213.88212290000001</v>
      </c>
      <c r="D121" s="67">
        <f t="shared" ref="D121" si="184">1.003*B121</f>
        <v>215.16927709999999</v>
      </c>
      <c r="E121" s="81">
        <f>8638.248/4893.543*100</f>
        <v>176.52339010814865</v>
      </c>
      <c r="F121" s="31">
        <v>325589.25</v>
      </c>
      <c r="G121" s="81">
        <f t="shared" si="110"/>
        <v>69.847261768724991</v>
      </c>
      <c r="H121" s="90"/>
      <c r="I121" s="14"/>
      <c r="J121" s="14"/>
    </row>
    <row r="122" spans="1:10" s="15" customFormat="1" ht="16.5" customHeight="1">
      <c r="A122" s="35">
        <v>43229</v>
      </c>
      <c r="B122" s="68">
        <v>212.4579</v>
      </c>
      <c r="C122" s="67">
        <f t="shared" ref="C122" si="185">0.997*B122</f>
        <v>211.82052629999998</v>
      </c>
      <c r="D122" s="67">
        <f t="shared" ref="D122" si="186">1.003*B122</f>
        <v>213.09527369999998</v>
      </c>
      <c r="E122" s="81">
        <f>8573.202/4893.543*100</f>
        <v>175.19416913267136</v>
      </c>
      <c r="F122" s="31">
        <v>325589.25</v>
      </c>
      <c r="G122" s="81">
        <f t="shared" si="110"/>
        <v>69.174008317574987</v>
      </c>
      <c r="H122" s="90"/>
      <c r="I122" s="14"/>
      <c r="J122" s="14"/>
    </row>
    <row r="123" spans="1:10" s="15" customFormat="1" ht="16.5" customHeight="1">
      <c r="A123" s="35">
        <v>43222</v>
      </c>
      <c r="B123" s="68">
        <v>210.41499999999999</v>
      </c>
      <c r="C123" s="67">
        <f t="shared" ref="C123" si="187">0.997*B123</f>
        <v>209.78375499999999</v>
      </c>
      <c r="D123" s="67">
        <f t="shared" ref="D123" si="188">1.003*B123</f>
        <v>211.04624499999997</v>
      </c>
      <c r="E123" s="81">
        <f>8431.197/4893.543*100</f>
        <v>172.29228393415571</v>
      </c>
      <c r="F123" s="31">
        <v>323693.95</v>
      </c>
      <c r="G123" s="81">
        <f t="shared" si="110"/>
        <v>68.110062489249998</v>
      </c>
      <c r="H123" s="90"/>
      <c r="I123" s="14"/>
      <c r="J123" s="14"/>
    </row>
    <row r="124" spans="1:10" s="15" customFormat="1" ht="16.5" customHeight="1">
      <c r="A124" s="35">
        <v>43215</v>
      </c>
      <c r="B124" s="68">
        <v>211.64429999999999</v>
      </c>
      <c r="C124" s="67">
        <f t="shared" ref="C124" si="189">0.997*B124</f>
        <v>211.00936709999999</v>
      </c>
      <c r="D124" s="67">
        <f t="shared" ref="D124" si="190">1.003*B124</f>
        <v>212.27923289999995</v>
      </c>
      <c r="E124" s="81">
        <f>8426.223/4893.543*100</f>
        <v>172.19063978798187</v>
      </c>
      <c r="F124" s="31">
        <v>323186.12</v>
      </c>
      <c r="G124" s="81">
        <f t="shared" si="110"/>
        <v>68.400500137115998</v>
      </c>
      <c r="H124" s="90"/>
      <c r="I124" s="14"/>
      <c r="J124" s="14"/>
    </row>
    <row r="125" spans="1:10" s="15" customFormat="1" ht="16.5" customHeight="1">
      <c r="A125" s="35">
        <v>43208</v>
      </c>
      <c r="B125" s="68">
        <v>216.38140000000001</v>
      </c>
      <c r="C125" s="67">
        <f t="shared" ref="C125" si="191">0.997*B125</f>
        <v>215.73225580000002</v>
      </c>
      <c r="D125" s="67">
        <f t="shared" ref="D125" si="192">1.003*B125</f>
        <v>217.03054419999998</v>
      </c>
      <c r="E125" s="81">
        <f>8611.482/4893.543*100</f>
        <v>175.97642444339411</v>
      </c>
      <c r="F125" s="31">
        <v>323186.12</v>
      </c>
      <c r="G125" s="81">
        <f t="shared" si="110"/>
        <v>69.931465106168005</v>
      </c>
      <c r="H125" s="90"/>
      <c r="I125" s="14"/>
      <c r="J125" s="14"/>
    </row>
    <row r="126" spans="1:10" s="15" customFormat="1" ht="16.5" customHeight="1">
      <c r="A126" s="35">
        <v>43201</v>
      </c>
      <c r="B126" s="68">
        <v>213.0428</v>
      </c>
      <c r="C126" s="67">
        <f t="shared" ref="C126" si="193">0.997*B126</f>
        <v>212.4036716</v>
      </c>
      <c r="D126" s="67">
        <f t="shared" ref="D126" si="194">1.003*B126</f>
        <v>213.68192839999998</v>
      </c>
      <c r="E126" s="81">
        <f>8440.239/4893.543*100</f>
        <v>172.47705803341259</v>
      </c>
      <c r="F126" s="31">
        <v>323186.12</v>
      </c>
      <c r="G126" s="81">
        <f t="shared" si="110"/>
        <v>68.852475925936005</v>
      </c>
      <c r="H126" s="90"/>
      <c r="I126" s="14"/>
      <c r="J126" s="14"/>
    </row>
    <row r="127" spans="1:10" s="15" customFormat="1" ht="16.5" customHeight="1">
      <c r="A127" s="35">
        <v>43194</v>
      </c>
      <c r="B127" s="68">
        <v>210.0968</v>
      </c>
      <c r="C127" s="67">
        <f t="shared" ref="C127:C133" si="195">0.997*B127</f>
        <v>209.46650959999999</v>
      </c>
      <c r="D127" s="67">
        <f t="shared" ref="D127:D132" si="196">1.003*B127</f>
        <v>210.72709039999998</v>
      </c>
      <c r="E127" s="81">
        <f>8347.681/4893.543*100</f>
        <v>170.58562681476388</v>
      </c>
      <c r="F127" s="31">
        <v>322967.83</v>
      </c>
      <c r="G127" s="81">
        <f t="shared" si="110"/>
        <v>67.854507585943992</v>
      </c>
      <c r="H127" s="90"/>
      <c r="I127" s="14"/>
      <c r="J127" s="14"/>
    </row>
    <row r="128" spans="1:10" s="15" customFormat="1" ht="16.5" customHeight="1">
      <c r="A128" s="35">
        <v>43187</v>
      </c>
      <c r="B128" s="68">
        <v>209.11840000000001</v>
      </c>
      <c r="C128" s="67">
        <f t="shared" si="195"/>
        <v>208.4910448</v>
      </c>
      <c r="D128" s="67">
        <f t="shared" si="196"/>
        <v>209.74575519999999</v>
      </c>
      <c r="E128" s="81">
        <f>8290.633/4893.543*100</f>
        <v>169.41984570279652</v>
      </c>
      <c r="F128" s="31">
        <v>325830.71000000002</v>
      </c>
      <c r="G128" s="81">
        <f t="shared" si="110"/>
        <v>68.137196746064006</v>
      </c>
      <c r="H128" s="90"/>
      <c r="I128" s="14"/>
      <c r="J128" s="14"/>
    </row>
    <row r="129" spans="1:10" s="15" customFormat="1" ht="16.5" customHeight="1">
      <c r="A129" s="35">
        <v>43180</v>
      </c>
      <c r="B129" s="68">
        <v>215.738</v>
      </c>
      <c r="C129" s="67">
        <f t="shared" si="195"/>
        <v>215.09078600000001</v>
      </c>
      <c r="D129" s="67">
        <f t="shared" si="196"/>
        <v>216.38521399999996</v>
      </c>
      <c r="E129" s="81">
        <f>8528.271/4893.543*100</f>
        <v>174.27600002697434</v>
      </c>
      <c r="F129" s="31">
        <v>326070.71000000002</v>
      </c>
      <c r="G129" s="81">
        <f t="shared" si="110"/>
        <v>70.345842833980015</v>
      </c>
      <c r="H129" s="90"/>
      <c r="I129" s="14"/>
      <c r="J129" s="14"/>
    </row>
    <row r="130" spans="1:10" s="15" customFormat="1" ht="16.5" customHeight="1">
      <c r="A130" s="35">
        <v>43173</v>
      </c>
      <c r="B130" s="68">
        <v>215.4521</v>
      </c>
      <c r="C130" s="67">
        <f t="shared" si="195"/>
        <v>214.80574369999999</v>
      </c>
      <c r="D130" s="67">
        <f t="shared" si="196"/>
        <v>216.09845629999998</v>
      </c>
      <c r="E130" s="81">
        <f>8626.098/4893.543*100</f>
        <v>176.27510374385187</v>
      </c>
      <c r="F130" s="31">
        <v>328078.68</v>
      </c>
      <c r="G130" s="81">
        <f t="shared" si="110"/>
        <v>70.685240571227993</v>
      </c>
      <c r="H130" s="90"/>
      <c r="I130" s="14"/>
      <c r="J130" s="14"/>
    </row>
    <row r="131" spans="1:10" s="15" customFormat="1" ht="16.5" customHeight="1">
      <c r="A131" s="35">
        <v>43166</v>
      </c>
      <c r="B131" s="68">
        <v>213.6362</v>
      </c>
      <c r="C131" s="67">
        <f t="shared" si="195"/>
        <v>212.99529140000001</v>
      </c>
      <c r="D131" s="67">
        <f t="shared" si="196"/>
        <v>214.27710859999999</v>
      </c>
      <c r="E131" s="81">
        <f>8546.296/4893.543*100</f>
        <v>174.6443425550772</v>
      </c>
      <c r="F131" s="31">
        <v>328454.27</v>
      </c>
      <c r="G131" s="81">
        <f t="shared" si="110"/>
        <v>70.169722116574007</v>
      </c>
      <c r="H131" s="90"/>
      <c r="I131" s="14"/>
      <c r="J131" s="14"/>
    </row>
    <row r="132" spans="1:10" s="15" customFormat="1" ht="16.5" customHeight="1">
      <c r="A132" s="35">
        <v>43159</v>
      </c>
      <c r="B132" s="68">
        <v>211.83789999999999</v>
      </c>
      <c r="C132" s="67">
        <f t="shared" si="195"/>
        <v>211.2023863</v>
      </c>
      <c r="D132" s="67">
        <f t="shared" si="196"/>
        <v>212.47341369999998</v>
      </c>
      <c r="E132" s="81">
        <f>8549.699/4893.543*100</f>
        <v>174.71388317217199</v>
      </c>
      <c r="F132" s="31">
        <v>328282.28999999998</v>
      </c>
      <c r="G132" s="81">
        <f t="shared" si="110"/>
        <v>69.542630920790984</v>
      </c>
      <c r="H132" s="90"/>
      <c r="I132" s="14"/>
      <c r="J132" s="14"/>
    </row>
    <row r="133" spans="1:10" s="15" customFormat="1" ht="16.5" customHeight="1">
      <c r="A133" s="35">
        <v>43152</v>
      </c>
      <c r="B133" s="68">
        <v>211.68190000000001</v>
      </c>
      <c r="C133" s="67">
        <f t="shared" si="195"/>
        <v>211.04685430000001</v>
      </c>
      <c r="D133" s="67">
        <f t="shared" ref="D133:D138" si="197">1.003*B133</f>
        <v>212.31694569999999</v>
      </c>
      <c r="E133" s="81">
        <f>8545.709/4893.543*100</f>
        <v>174.63234715624245</v>
      </c>
      <c r="F133" s="31">
        <v>328242.17</v>
      </c>
      <c r="G133" s="81">
        <f t="shared" si="110"/>
        <v>69.482926205723004</v>
      </c>
      <c r="H133" s="90"/>
      <c r="I133" s="14"/>
      <c r="J133" s="14"/>
    </row>
    <row r="134" spans="1:10" s="15" customFormat="1" ht="16.5" customHeight="1">
      <c r="A134" s="35">
        <v>43145</v>
      </c>
      <c r="B134" s="68">
        <v>210.275926</v>
      </c>
      <c r="C134" s="67">
        <f t="shared" ref="C134:C140" si="198">0.997*B134</f>
        <v>209.645098222</v>
      </c>
      <c r="D134" s="67">
        <f t="shared" si="197"/>
        <v>210.90675377799997</v>
      </c>
      <c r="E134" s="81">
        <f>8490.763/4893.543*100</f>
        <v>173.50952060705305</v>
      </c>
      <c r="F134" s="31">
        <v>327292.88</v>
      </c>
      <c r="G134" s="81">
        <f t="shared" si="110"/>
        <v>68.821813415206876</v>
      </c>
      <c r="H134" s="90"/>
      <c r="I134" s="14"/>
      <c r="J134" s="14"/>
    </row>
    <row r="135" spans="1:10" ht="16.5" customHeight="1">
      <c r="A135" s="35">
        <v>43138</v>
      </c>
      <c r="B135" s="68">
        <v>207.08279999999999</v>
      </c>
      <c r="C135" s="67">
        <f t="shared" si="198"/>
        <v>206.46155159999998</v>
      </c>
      <c r="D135" s="67">
        <f t="shared" si="197"/>
        <v>207.70404839999998</v>
      </c>
      <c r="E135" s="81">
        <f>8466.233/4893.543*100</f>
        <v>173.00824780736576</v>
      </c>
      <c r="F135" s="31">
        <v>327293.88</v>
      </c>
      <c r="G135" s="81">
        <f t="shared" ref="G135:G158" si="199">F135*B135/1000000</f>
        <v>67.776933093263992</v>
      </c>
      <c r="H135" s="91"/>
      <c r="I135" s="4"/>
      <c r="J135" s="4"/>
    </row>
    <row r="136" spans="1:10" s="15" customFormat="1" ht="16.5" customHeight="1">
      <c r="A136" s="35">
        <v>43131</v>
      </c>
      <c r="B136" s="68">
        <v>215.6105</v>
      </c>
      <c r="C136" s="67">
        <f t="shared" si="198"/>
        <v>214.96366850000001</v>
      </c>
      <c r="D136" s="67">
        <f t="shared" si="197"/>
        <v>216.25733149999999</v>
      </c>
      <c r="E136" s="81">
        <f>8915.278/4893.543*100</f>
        <v>182.18452356503255</v>
      </c>
      <c r="F136" s="31">
        <v>325838.88</v>
      </c>
      <c r="G136" s="81">
        <f t="shared" si="199"/>
        <v>70.254283836240006</v>
      </c>
      <c r="H136" s="90"/>
      <c r="I136" s="14"/>
      <c r="J136" s="14"/>
    </row>
    <row r="137" spans="1:10" s="15" customFormat="1" ht="16.5" customHeight="1">
      <c r="A137" s="35">
        <v>43124</v>
      </c>
      <c r="B137" s="68">
        <v>217.29679999999999</v>
      </c>
      <c r="C137" s="67">
        <f t="shared" si="198"/>
        <v>216.64490959999998</v>
      </c>
      <c r="D137" s="67">
        <f t="shared" si="197"/>
        <v>217.94869039999998</v>
      </c>
      <c r="E137" s="81">
        <f>8990.535/4893.543*100</f>
        <v>183.72240726197768</v>
      </c>
      <c r="F137" s="31">
        <v>318829.69</v>
      </c>
      <c r="G137" s="81">
        <f t="shared" si="199"/>
        <v>69.280671381991993</v>
      </c>
      <c r="H137" s="90"/>
      <c r="I137" s="14"/>
      <c r="J137" s="14"/>
    </row>
    <row r="138" spans="1:10" s="15" customFormat="1" ht="16.5" customHeight="1">
      <c r="A138" s="35">
        <v>43117</v>
      </c>
      <c r="B138" s="68">
        <v>212.8571</v>
      </c>
      <c r="C138" s="67">
        <f t="shared" si="198"/>
        <v>212.21852870000001</v>
      </c>
      <c r="D138" s="67">
        <f t="shared" si="197"/>
        <v>213.49567129999997</v>
      </c>
      <c r="E138" s="81">
        <f>8858.57/4893.543*100</f>
        <v>181.02569038424716</v>
      </c>
      <c r="F138" s="31">
        <v>320063.5</v>
      </c>
      <c r="G138" s="81">
        <f t="shared" si="199"/>
        <v>68.127788425849999</v>
      </c>
      <c r="H138" s="90"/>
      <c r="I138" s="14"/>
      <c r="J138" s="14"/>
    </row>
    <row r="139" spans="1:10" s="15" customFormat="1" ht="16.5" customHeight="1">
      <c r="A139" s="35">
        <v>43110</v>
      </c>
      <c r="B139" s="68">
        <v>210.7842</v>
      </c>
      <c r="C139" s="67">
        <f t="shared" si="198"/>
        <v>210.15184740000001</v>
      </c>
      <c r="D139" s="67">
        <f t="shared" ref="D139:D144" si="200">1.003*B139</f>
        <v>211.41655259999999</v>
      </c>
      <c r="E139" s="81">
        <f>8706.333/4893.543*100</f>
        <v>177.91471332733769</v>
      </c>
      <c r="F139" s="31">
        <v>319354</v>
      </c>
      <c r="G139" s="81">
        <f t="shared" si="199"/>
        <v>67.314777406800005</v>
      </c>
      <c r="H139" s="90"/>
      <c r="I139" s="14"/>
      <c r="J139" s="14"/>
    </row>
    <row r="140" spans="1:10" s="15" customFormat="1" ht="16.5" customHeight="1">
      <c r="A140" s="35">
        <v>43103</v>
      </c>
      <c r="B140" s="68">
        <v>208.72200000000001</v>
      </c>
      <c r="C140" s="67">
        <f t="shared" si="198"/>
        <v>208.095834</v>
      </c>
      <c r="D140" s="67">
        <f t="shared" si="200"/>
        <v>209.34816599999999</v>
      </c>
      <c r="E140" s="81">
        <f>8555.966/4893.543*100</f>
        <v>174.84194989192903</v>
      </c>
      <c r="F140" s="31">
        <v>319290.84000000003</v>
      </c>
      <c r="G140" s="81">
        <f t="shared" si="199"/>
        <v>66.643022706480011</v>
      </c>
      <c r="H140" s="90"/>
      <c r="I140" s="14"/>
      <c r="J140" s="14"/>
    </row>
    <row r="141" spans="1:10" ht="16.5" customHeight="1">
      <c r="A141" s="35">
        <v>43100</v>
      </c>
      <c r="B141" s="68">
        <v>205.88509999999999</v>
      </c>
      <c r="C141" s="67">
        <f t="shared" ref="C141:C146" si="201">0.997*B141</f>
        <v>205.2674447</v>
      </c>
      <c r="D141" s="67">
        <f t="shared" si="200"/>
        <v>206.50275529999996</v>
      </c>
      <c r="E141" s="81">
        <f>8466.345/4893.543*100</f>
        <v>173.01053653763745</v>
      </c>
      <c r="F141" s="31">
        <v>319290.84000000003</v>
      </c>
      <c r="G141" s="81">
        <f t="shared" si="199"/>
        <v>65.737226522484008</v>
      </c>
      <c r="H141" s="91"/>
      <c r="I141" s="4"/>
      <c r="J141" s="4"/>
    </row>
    <row r="142" spans="1:10" ht="16.5" customHeight="1">
      <c r="A142" s="35">
        <v>43096</v>
      </c>
      <c r="B142" s="68">
        <v>204.99369999999999</v>
      </c>
      <c r="C142" s="67">
        <f t="shared" si="201"/>
        <v>204.3787189</v>
      </c>
      <c r="D142" s="67">
        <f t="shared" si="200"/>
        <v>205.60868109999996</v>
      </c>
      <c r="E142" s="81">
        <f>8462.647/4893.543*100</f>
        <v>172.93496756848771</v>
      </c>
      <c r="F142" s="31">
        <v>319290.84000000003</v>
      </c>
      <c r="G142" s="81">
        <f t="shared" si="199"/>
        <v>65.452610667708001</v>
      </c>
      <c r="H142" s="91"/>
      <c r="I142" s="4"/>
      <c r="J142" s="4"/>
    </row>
    <row r="143" spans="1:10" s="15" customFormat="1" ht="16.5" customHeight="1">
      <c r="A143" s="35">
        <v>43089</v>
      </c>
      <c r="B143" s="68">
        <v>203.1901</v>
      </c>
      <c r="C143" s="67">
        <f t="shared" si="201"/>
        <v>202.5805297</v>
      </c>
      <c r="D143" s="67">
        <f t="shared" si="200"/>
        <v>203.79967029999997</v>
      </c>
      <c r="E143" s="81">
        <f>8429.665/4893.543*100</f>
        <v>172.26097737365342</v>
      </c>
      <c r="F143" s="31">
        <v>319290.84000000003</v>
      </c>
      <c r="G143" s="81">
        <f t="shared" si="199"/>
        <v>64.876737708684004</v>
      </c>
      <c r="H143" s="90"/>
      <c r="I143" s="14"/>
      <c r="J143" s="14"/>
    </row>
    <row r="144" spans="1:10" s="15" customFormat="1" ht="16.5" customHeight="1">
      <c r="A144" s="35">
        <v>43082</v>
      </c>
      <c r="B144" s="68">
        <v>200.68459999999999</v>
      </c>
      <c r="C144" s="67">
        <f t="shared" si="201"/>
        <v>200.0825462</v>
      </c>
      <c r="D144" s="67">
        <f t="shared" si="200"/>
        <v>201.28665379999995</v>
      </c>
      <c r="E144" s="81">
        <f>8382.285/4893.543*100</f>
        <v>171.29276272835449</v>
      </c>
      <c r="F144" s="31">
        <v>319290.84000000003</v>
      </c>
      <c r="G144" s="81">
        <f t="shared" si="199"/>
        <v>64.076754509064003</v>
      </c>
      <c r="H144" s="90"/>
      <c r="I144" s="14"/>
      <c r="J144" s="14"/>
    </row>
    <row r="145" spans="1:10" s="15" customFormat="1" ht="16.5" customHeight="1">
      <c r="A145" s="35">
        <v>43075</v>
      </c>
      <c r="B145" s="68">
        <v>198.00960000000001</v>
      </c>
      <c r="C145" s="67">
        <f t="shared" si="201"/>
        <v>197.41557120000002</v>
      </c>
      <c r="D145" s="67">
        <f t="shared" ref="D145:D150" si="202">1.003*B145</f>
        <v>198.6036288</v>
      </c>
      <c r="E145" s="81">
        <f>8274.893/4893.543*100</f>
        <v>169.09819735925484</v>
      </c>
      <c r="F145" s="31">
        <v>314255.68</v>
      </c>
      <c r="G145" s="81">
        <f t="shared" si="199"/>
        <v>62.225641494528006</v>
      </c>
      <c r="H145" s="90"/>
      <c r="I145" s="14"/>
      <c r="J145" s="14"/>
    </row>
    <row r="146" spans="1:10" s="15" customFormat="1" ht="16.5" customHeight="1">
      <c r="A146" s="35">
        <v>43068</v>
      </c>
      <c r="B146" s="68">
        <v>205.10079999999999</v>
      </c>
      <c r="C146" s="67">
        <f t="shared" si="201"/>
        <v>204.4854976</v>
      </c>
      <c r="D146" s="67">
        <f t="shared" si="202"/>
        <v>205.71610239999998</v>
      </c>
      <c r="E146" s="81">
        <f>8303.959/4893.543*100</f>
        <v>169.69216373494626</v>
      </c>
      <c r="F146" s="31">
        <v>290134.74</v>
      </c>
      <c r="G146" s="81">
        <f t="shared" si="199"/>
        <v>59.50686728179199</v>
      </c>
      <c r="H146" s="90"/>
      <c r="I146" s="14"/>
      <c r="J146" s="14"/>
    </row>
    <row r="147" spans="1:10" s="15" customFormat="1" ht="16.5" customHeight="1">
      <c r="A147" s="79">
        <v>43061</v>
      </c>
      <c r="B147" s="71">
        <v>205.43245099999999</v>
      </c>
      <c r="C147" s="67">
        <f t="shared" ref="C147:C153" si="203">0.997*B147</f>
        <v>204.81615364699999</v>
      </c>
      <c r="D147" s="67">
        <f t="shared" si="202"/>
        <v>206.04874835299995</v>
      </c>
      <c r="E147" s="81">
        <f>8236.615/4893.543*100</f>
        <v>168.31598291871555</v>
      </c>
      <c r="F147" s="31">
        <v>290134.74</v>
      </c>
      <c r="G147" s="81">
        <f t="shared" si="199"/>
        <v>59.603090758447735</v>
      </c>
      <c r="H147" s="90"/>
      <c r="I147" s="14"/>
      <c r="J147" s="14"/>
    </row>
    <row r="148" spans="1:10" ht="16.5" customHeight="1">
      <c r="A148" s="66">
        <v>43054</v>
      </c>
      <c r="B148" s="69">
        <v>199.453</v>
      </c>
      <c r="C148" s="82">
        <f t="shared" si="203"/>
        <v>198.85464100000002</v>
      </c>
      <c r="D148" s="82">
        <f t="shared" si="202"/>
        <v>200.05135899999999</v>
      </c>
      <c r="E148" s="80">
        <f>8116.041/4893.543*100</f>
        <v>165.85204217067266</v>
      </c>
      <c r="F148" s="86">
        <v>290134.74</v>
      </c>
      <c r="G148" s="78">
        <f t="shared" si="199"/>
        <v>57.868244297220002</v>
      </c>
      <c r="H148" s="91"/>
      <c r="I148" s="4"/>
      <c r="J148" s="4"/>
    </row>
    <row r="149" spans="1:10" s="15" customFormat="1" ht="16.5" customHeight="1">
      <c r="A149" s="79">
        <v>43047</v>
      </c>
      <c r="B149" s="71">
        <v>202.1036</v>
      </c>
      <c r="C149" s="67">
        <f t="shared" si="203"/>
        <v>201.49728920000001</v>
      </c>
      <c r="D149" s="67">
        <f t="shared" si="202"/>
        <v>202.70991079999999</v>
      </c>
      <c r="E149" s="81">
        <f>8227.561/4893.543*100</f>
        <v>168.13096359835808</v>
      </c>
      <c r="F149" s="31">
        <v>288408.14</v>
      </c>
      <c r="G149" s="81">
        <f t="shared" si="199"/>
        <v>58.288323363304002</v>
      </c>
      <c r="H149" s="90"/>
      <c r="I149" s="14"/>
      <c r="J149" s="14"/>
    </row>
    <row r="150" spans="1:10" s="15" customFormat="1" ht="16.5" customHeight="1">
      <c r="A150" s="79">
        <v>43040</v>
      </c>
      <c r="B150" s="71">
        <v>199.54239999999999</v>
      </c>
      <c r="C150" s="67">
        <f t="shared" si="203"/>
        <v>198.94377279999998</v>
      </c>
      <c r="D150" s="67">
        <f t="shared" si="202"/>
        <v>200.14102719999997</v>
      </c>
      <c r="E150" s="81">
        <f>8187.198/4893.543*100</f>
        <v>167.30614199159996</v>
      </c>
      <c r="F150" s="31">
        <v>288408.14</v>
      </c>
      <c r="G150" s="81">
        <f t="shared" si="199"/>
        <v>57.549652435135997</v>
      </c>
      <c r="H150" s="90"/>
      <c r="I150" s="14"/>
      <c r="J150" s="14"/>
    </row>
    <row r="151" spans="1:10" s="15" customFormat="1" ht="16.5" customHeight="1">
      <c r="A151" s="79">
        <v>43033</v>
      </c>
      <c r="B151" s="71">
        <v>198.79429999999999</v>
      </c>
      <c r="C151" s="67">
        <f t="shared" si="203"/>
        <v>198.19791709999998</v>
      </c>
      <c r="D151" s="67">
        <f t="shared" ref="D151:D156" si="204">1.003*B151</f>
        <v>199.39068289999997</v>
      </c>
      <c r="E151" s="81">
        <f>8114.67/4893.543*100</f>
        <v>165.82402565993596</v>
      </c>
      <c r="F151" s="31">
        <v>288348.7</v>
      </c>
      <c r="G151" s="81">
        <f t="shared" si="199"/>
        <v>57.32207797241</v>
      </c>
      <c r="H151" s="90"/>
      <c r="I151" s="14"/>
      <c r="J151" s="14"/>
    </row>
    <row r="152" spans="1:10" s="15" customFormat="1" ht="16.5" customHeight="1">
      <c r="A152" s="79">
        <v>43026</v>
      </c>
      <c r="B152" s="71">
        <v>200.3792</v>
      </c>
      <c r="C152" s="67">
        <f t="shared" si="203"/>
        <v>199.77806240000001</v>
      </c>
      <c r="D152" s="67">
        <f t="shared" si="204"/>
        <v>200.98033759999998</v>
      </c>
      <c r="E152" s="81">
        <f>8141.147/4893.543*100</f>
        <v>166.36508558318585</v>
      </c>
      <c r="F152" s="31">
        <v>288348.7</v>
      </c>
      <c r="G152" s="81">
        <f t="shared" si="199"/>
        <v>57.779081827040002</v>
      </c>
      <c r="H152" s="90"/>
      <c r="I152" s="14"/>
      <c r="J152" s="14"/>
    </row>
    <row r="153" spans="1:10" s="15" customFormat="1" ht="16.5" customHeight="1">
      <c r="A153" s="79">
        <v>43019</v>
      </c>
      <c r="B153" s="71">
        <v>198.6567</v>
      </c>
      <c r="C153" s="67">
        <f t="shared" si="203"/>
        <v>198.06072990000001</v>
      </c>
      <c r="D153" s="67">
        <f t="shared" si="204"/>
        <v>199.25267009999999</v>
      </c>
      <c r="E153" s="81">
        <f>8116.215/4893.543*100</f>
        <v>165.8555978766305</v>
      </c>
      <c r="F153" s="31">
        <v>288348.7</v>
      </c>
      <c r="G153" s="81">
        <f t="shared" si="199"/>
        <v>57.282401191290006</v>
      </c>
      <c r="H153" s="90"/>
      <c r="I153" s="14"/>
      <c r="J153" s="14"/>
    </row>
    <row r="154" spans="1:10" s="15" customFormat="1" ht="16.5" customHeight="1">
      <c r="A154" s="79">
        <v>43012</v>
      </c>
      <c r="B154" s="71">
        <v>197.44030000000001</v>
      </c>
      <c r="C154" s="67">
        <f t="shared" ref="C154:C160" si="205">0.997*B154</f>
        <v>196.8479791</v>
      </c>
      <c r="D154" s="67">
        <f t="shared" si="204"/>
        <v>198.03262089999998</v>
      </c>
      <c r="E154" s="81">
        <f>8058.461/4893.543*100</f>
        <v>164.67538958991472</v>
      </c>
      <c r="F154" s="31">
        <v>289344.42</v>
      </c>
      <c r="G154" s="81">
        <f t="shared" si="199"/>
        <v>57.128249088125997</v>
      </c>
      <c r="H154" s="90"/>
      <c r="I154" s="14"/>
      <c r="J154" s="14"/>
    </row>
    <row r="155" spans="1:10" s="15" customFormat="1" ht="16.5" customHeight="1">
      <c r="A155" s="79">
        <v>43005</v>
      </c>
      <c r="B155" s="71">
        <v>192.68799999999999</v>
      </c>
      <c r="C155" s="67">
        <f t="shared" si="205"/>
        <v>192.10993599999998</v>
      </c>
      <c r="D155" s="67">
        <f t="shared" si="204"/>
        <v>193.26606399999997</v>
      </c>
      <c r="E155" s="81">
        <f>7964.244/4893.543*100</f>
        <v>162.75005655411633</v>
      </c>
      <c r="F155" s="31">
        <v>282349.11</v>
      </c>
      <c r="G155" s="81">
        <f t="shared" si="199"/>
        <v>54.405285307679996</v>
      </c>
      <c r="H155" s="90"/>
      <c r="I155" s="14"/>
      <c r="J155" s="14"/>
    </row>
    <row r="156" spans="1:10" s="15" customFormat="1" ht="16.5" customHeight="1">
      <c r="A156" s="79">
        <v>42998</v>
      </c>
      <c r="B156" s="71">
        <v>196.1011</v>
      </c>
      <c r="C156" s="67">
        <f t="shared" si="205"/>
        <v>195.5127967</v>
      </c>
      <c r="D156" s="67">
        <f t="shared" si="204"/>
        <v>196.68940329999998</v>
      </c>
      <c r="E156" s="81">
        <f>8000.125/4893.543*100</f>
        <v>163.48328807982276</v>
      </c>
      <c r="F156" s="31">
        <v>288748.58</v>
      </c>
      <c r="G156" s="81">
        <f t="shared" si="199"/>
        <v>56.623914161438002</v>
      </c>
      <c r="H156" s="90"/>
      <c r="I156" s="14"/>
      <c r="J156" s="14"/>
    </row>
    <row r="157" spans="1:10" s="15" customFormat="1" ht="16.5" customHeight="1">
      <c r="A157" s="79">
        <v>42991</v>
      </c>
      <c r="B157" s="71">
        <v>194.6729</v>
      </c>
      <c r="C157" s="67">
        <f t="shared" si="205"/>
        <v>194.0888813</v>
      </c>
      <c r="D157" s="67">
        <f t="shared" ref="D157:D162" si="206">1.003*B157</f>
        <v>195.25691869999997</v>
      </c>
      <c r="E157" s="81">
        <f>7948.991/4893.543*100</f>
        <v>162.43836010023821</v>
      </c>
      <c r="F157" s="31">
        <v>288748.58</v>
      </c>
      <c r="G157" s="81">
        <f t="shared" si="199"/>
        <v>56.211523439482001</v>
      </c>
      <c r="H157" s="90"/>
      <c r="I157" s="14"/>
      <c r="J157" s="14"/>
    </row>
    <row r="158" spans="1:10" s="15" customFormat="1" ht="16.5" customHeight="1">
      <c r="A158" s="79">
        <v>42984</v>
      </c>
      <c r="B158" s="71">
        <v>190.90629999999999</v>
      </c>
      <c r="C158" s="67">
        <f t="shared" si="205"/>
        <v>190.33358109999998</v>
      </c>
      <c r="D158" s="67">
        <f t="shared" si="206"/>
        <v>191.47901889999997</v>
      </c>
      <c r="E158" s="81">
        <f>7835.664/4893.543*100</f>
        <v>160.12251246182981</v>
      </c>
      <c r="F158" s="31">
        <v>288748.58</v>
      </c>
      <c r="G158" s="81">
        <f t="shared" si="199"/>
        <v>55.123923038053995</v>
      </c>
      <c r="H158" s="90"/>
      <c r="I158" s="14"/>
      <c r="J158" s="14"/>
    </row>
    <row r="159" spans="1:10" s="15" customFormat="1" ht="16.5" customHeight="1">
      <c r="A159" s="79">
        <v>42977</v>
      </c>
      <c r="B159" s="71">
        <v>190.25450000000001</v>
      </c>
      <c r="C159" s="67">
        <f t="shared" si="205"/>
        <v>189.68373650000001</v>
      </c>
      <c r="D159" s="67">
        <f t="shared" si="206"/>
        <v>190.82526349999998</v>
      </c>
      <c r="E159" s="81">
        <f>7787.876/4893.543*100</f>
        <v>159.14596029911255</v>
      </c>
      <c r="F159" s="31">
        <v>282410.59000000003</v>
      </c>
      <c r="G159" s="81">
        <v>54.92</v>
      </c>
      <c r="H159" s="90"/>
      <c r="I159" s="14"/>
      <c r="J159" s="14"/>
    </row>
    <row r="160" spans="1:10" s="15" customFormat="1" ht="16.5" customHeight="1">
      <c r="A160" s="79">
        <v>42970</v>
      </c>
      <c r="B160" s="71">
        <v>188.82550000000001</v>
      </c>
      <c r="C160" s="67">
        <f t="shared" si="205"/>
        <v>188.25902350000001</v>
      </c>
      <c r="D160" s="67">
        <f t="shared" si="206"/>
        <v>189.3919765</v>
      </c>
      <c r="E160" s="81">
        <f>7762.718/4893.543*100</f>
        <v>158.63185426183034</v>
      </c>
      <c r="F160" s="31">
        <v>282410.59000000003</v>
      </c>
      <c r="G160" s="81">
        <v>54.51</v>
      </c>
      <c r="H160" s="90"/>
      <c r="I160" s="14"/>
      <c r="J160" s="14"/>
    </row>
    <row r="161" spans="1:10" s="15" customFormat="1" ht="16.5" customHeight="1">
      <c r="A161" s="79">
        <v>42963</v>
      </c>
      <c r="B161" s="71">
        <v>188.1515</v>
      </c>
      <c r="C161" s="67">
        <f t="shared" ref="C161:C167" si="207">0.997*B161</f>
        <v>187.58704549999999</v>
      </c>
      <c r="D161" s="67">
        <f t="shared" si="206"/>
        <v>188.71595449999998</v>
      </c>
      <c r="E161" s="81">
        <f>7807.529/4893.543*100</f>
        <v>159.547571156522</v>
      </c>
      <c r="F161" s="31">
        <v>282410.59000000003</v>
      </c>
      <c r="G161" s="81">
        <v>54.31</v>
      </c>
      <c r="H161" s="90"/>
      <c r="I161" s="14"/>
      <c r="J161" s="14"/>
    </row>
    <row r="162" spans="1:10" s="15" customFormat="1" ht="16.5" customHeight="1">
      <c r="A162" s="79">
        <v>42956</v>
      </c>
      <c r="B162" s="71">
        <v>190.1718869775946</v>
      </c>
      <c r="C162" s="82">
        <f t="shared" si="207"/>
        <v>189.60137131666181</v>
      </c>
      <c r="D162" s="82">
        <f t="shared" si="206"/>
        <v>190.74240263852735</v>
      </c>
      <c r="E162" s="80">
        <f>7829.879/4893.543*100</f>
        <v>160.00429545627782</v>
      </c>
      <c r="F162" s="86">
        <v>282410.59999999998</v>
      </c>
      <c r="G162" s="80">
        <v>54.9</v>
      </c>
      <c r="H162" s="90"/>
      <c r="I162" s="14"/>
      <c r="J162" s="14"/>
    </row>
    <row r="163" spans="1:10" ht="16.5" customHeight="1">
      <c r="A163" s="66">
        <v>42949</v>
      </c>
      <c r="B163" s="69">
        <v>188.51390000000001</v>
      </c>
      <c r="C163" s="82">
        <f t="shared" si="207"/>
        <v>187.9483583</v>
      </c>
      <c r="D163" s="82">
        <f t="shared" ref="D163:D168" si="208">1.003*B163</f>
        <v>189.07944169999999</v>
      </c>
      <c r="E163" s="80">
        <f>7860.153/4893.543*100</f>
        <v>160.62294742275691</v>
      </c>
      <c r="F163" s="86">
        <v>280097.75</v>
      </c>
      <c r="G163" s="37">
        <v>54.07</v>
      </c>
      <c r="H163" s="91"/>
      <c r="I163" s="4"/>
      <c r="J163" s="4"/>
    </row>
    <row r="164" spans="1:10" s="15" customFormat="1" ht="16.5" customHeight="1">
      <c r="A164" s="79">
        <v>42942</v>
      </c>
      <c r="B164" s="71">
        <v>188.87530000000001</v>
      </c>
      <c r="C164" s="67">
        <f t="shared" si="207"/>
        <v>188.30867410000002</v>
      </c>
      <c r="D164" s="67">
        <f t="shared" si="208"/>
        <v>189.4419259</v>
      </c>
      <c r="E164" s="81">
        <f>7824.148/4893.543*100</f>
        <v>159.88718194567824</v>
      </c>
      <c r="F164" s="31">
        <v>280097.75</v>
      </c>
      <c r="G164" s="81">
        <v>54.07</v>
      </c>
      <c r="H164" s="90"/>
      <c r="I164" s="14"/>
      <c r="J164" s="14"/>
    </row>
    <row r="165" spans="1:10" s="15" customFormat="1" ht="16.5" customHeight="1">
      <c r="A165" s="79">
        <v>42935</v>
      </c>
      <c r="B165" s="71">
        <v>189.0241</v>
      </c>
      <c r="C165" s="67">
        <f t="shared" si="207"/>
        <v>188.4570277</v>
      </c>
      <c r="D165" s="67">
        <f t="shared" si="208"/>
        <v>189.59117229999998</v>
      </c>
      <c r="E165" s="81">
        <f>7809.926/4893.543*100</f>
        <v>159.59655407135486</v>
      </c>
      <c r="F165" s="31">
        <v>282349.11</v>
      </c>
      <c r="G165" s="81">
        <v>54.54</v>
      </c>
      <c r="H165" s="90"/>
      <c r="I165" s="14"/>
      <c r="J165" s="14"/>
    </row>
    <row r="166" spans="1:10" s="15" customFormat="1" ht="16.5" customHeight="1">
      <c r="A166" s="79">
        <v>42928</v>
      </c>
      <c r="B166" s="71">
        <v>184.5994</v>
      </c>
      <c r="C166" s="67">
        <f t="shared" si="207"/>
        <v>184.04560180000001</v>
      </c>
      <c r="D166" s="67">
        <f t="shared" si="208"/>
        <v>185.15319819999999</v>
      </c>
      <c r="E166" s="81">
        <f>7706.539/4893.543*100</f>
        <v>157.48383124456043</v>
      </c>
      <c r="F166" s="31">
        <v>282349.11</v>
      </c>
      <c r="G166" s="81">
        <v>53.26</v>
      </c>
      <c r="H166" s="90"/>
      <c r="I166" s="14"/>
      <c r="J166" s="14"/>
    </row>
    <row r="167" spans="1:10" s="15" customFormat="1" ht="16.5" customHeight="1">
      <c r="A167" s="79">
        <v>42921</v>
      </c>
      <c r="B167" s="71">
        <v>181.958</v>
      </c>
      <c r="C167" s="67">
        <f t="shared" si="207"/>
        <v>181.412126</v>
      </c>
      <c r="D167" s="67">
        <f t="shared" si="208"/>
        <v>182.50387399999997</v>
      </c>
      <c r="E167" s="81">
        <f>7654.122/4893.543*100</f>
        <v>156.41268504230985</v>
      </c>
      <c r="F167" s="31">
        <v>282349.11</v>
      </c>
      <c r="G167" s="81">
        <v>52.5</v>
      </c>
      <c r="H167" s="90"/>
      <c r="I167" s="14"/>
      <c r="J167" s="14"/>
    </row>
    <row r="168" spans="1:10" s="15" customFormat="1" ht="16.5" customHeight="1">
      <c r="A168" s="79">
        <v>42914</v>
      </c>
      <c r="B168" s="71">
        <v>182.7757</v>
      </c>
      <c r="C168" s="67">
        <f t="shared" ref="C168:C173" si="209">0.997*B168</f>
        <v>182.22737290000001</v>
      </c>
      <c r="D168" s="67">
        <f t="shared" si="208"/>
        <v>183.32402709999997</v>
      </c>
      <c r="E168" s="81">
        <f>7696.738/4893.543*100</f>
        <v>157.28354691069438</v>
      </c>
      <c r="F168" s="31">
        <v>282349.11</v>
      </c>
      <c r="G168" s="81">
        <v>52.73</v>
      </c>
      <c r="H168" s="90"/>
      <c r="I168" s="14"/>
      <c r="J168" s="14"/>
    </row>
    <row r="169" spans="1:10" s="15" customFormat="1" ht="16.5" customHeight="1">
      <c r="A169" s="79">
        <v>42907</v>
      </c>
      <c r="B169" s="71">
        <v>179.26939999999999</v>
      </c>
      <c r="C169" s="67">
        <f t="shared" si="209"/>
        <v>178.73159179999999</v>
      </c>
      <c r="D169" s="67">
        <f t="shared" ref="D169:D174" si="210">1.003*B169</f>
        <v>179.80720819999996</v>
      </c>
      <c r="E169" s="81">
        <f>7647.172/4893.543*100</f>
        <v>156.27066115491374</v>
      </c>
      <c r="F169" s="31">
        <v>283333.99</v>
      </c>
      <c r="G169" s="81">
        <v>51.92</v>
      </c>
      <c r="H169" s="90"/>
      <c r="I169" s="14"/>
      <c r="J169" s="14"/>
    </row>
    <row r="170" spans="1:10" s="15" customFormat="1" ht="16.5" customHeight="1">
      <c r="A170" s="79">
        <v>42900</v>
      </c>
      <c r="B170" s="71">
        <v>180.8672</v>
      </c>
      <c r="C170" s="67">
        <f t="shared" si="209"/>
        <v>180.32459839999999</v>
      </c>
      <c r="D170" s="67">
        <f t="shared" si="210"/>
        <v>181.40980159999998</v>
      </c>
      <c r="E170" s="81">
        <f>7686.968/4893.543*100</f>
        <v>157.08389606467134</v>
      </c>
      <c r="F170" s="31">
        <v>282795.15000000002</v>
      </c>
      <c r="G170" s="81">
        <v>52.28</v>
      </c>
      <c r="H170" s="90"/>
      <c r="I170" s="14"/>
      <c r="J170" s="14"/>
    </row>
    <row r="171" spans="1:10" s="15" customFormat="1" ht="16.5" customHeight="1">
      <c r="A171" s="79">
        <v>42893</v>
      </c>
      <c r="B171" s="71">
        <v>180.35839999999999</v>
      </c>
      <c r="C171" s="67">
        <f t="shared" si="209"/>
        <v>179.81732479999999</v>
      </c>
      <c r="D171" s="67">
        <f t="shared" si="210"/>
        <v>180.89947519999998</v>
      </c>
      <c r="E171" s="81">
        <f>7669.544/4893.543*100</f>
        <v>156.72783502668722</v>
      </c>
      <c r="F171" s="31">
        <v>282795.15000000002</v>
      </c>
      <c r="G171" s="81">
        <v>52.13</v>
      </c>
      <c r="H171" s="90"/>
      <c r="I171" s="14"/>
      <c r="J171" s="14"/>
    </row>
    <row r="172" spans="1:10" s="15" customFormat="1" ht="16.5" customHeight="1">
      <c r="A172" s="79">
        <v>42886</v>
      </c>
      <c r="B172" s="71">
        <v>178.3673</v>
      </c>
      <c r="C172" s="67">
        <f t="shared" si="209"/>
        <v>177.8321981</v>
      </c>
      <c r="D172" s="67">
        <f t="shared" si="210"/>
        <v>178.90240189999997</v>
      </c>
      <c r="E172" s="81">
        <f>7604.861/4893.543*100</f>
        <v>155.40603198950126</v>
      </c>
      <c r="F172" s="31">
        <v>282795.15000000002</v>
      </c>
      <c r="G172" s="81">
        <v>51.55</v>
      </c>
      <c r="H172" s="90"/>
      <c r="I172" s="14"/>
      <c r="J172" s="14"/>
    </row>
    <row r="173" spans="1:10" s="15" customFormat="1" ht="16.5" customHeight="1">
      <c r="A173" s="79">
        <v>42879</v>
      </c>
      <c r="B173" s="71">
        <v>177.55779999999999</v>
      </c>
      <c r="C173" s="67">
        <f t="shared" si="209"/>
        <v>177.02512659999999</v>
      </c>
      <c r="D173" s="67">
        <f t="shared" si="210"/>
        <v>178.09047339999998</v>
      </c>
      <c r="E173" s="81">
        <f>7584.429/4893.543*100</f>
        <v>154.98850219564844</v>
      </c>
      <c r="F173" s="31">
        <v>282795.15000000002</v>
      </c>
      <c r="G173" s="81">
        <v>51.31</v>
      </c>
      <c r="H173" s="90"/>
      <c r="I173" s="14"/>
      <c r="J173" s="14"/>
    </row>
    <row r="174" spans="1:10" s="15" customFormat="1" ht="16.5" customHeight="1">
      <c r="A174" s="79">
        <v>42872</v>
      </c>
      <c r="B174" s="71">
        <v>175.44710000000001</v>
      </c>
      <c r="C174" s="67">
        <f t="shared" ref="C174:C180" si="211">0.997*B174</f>
        <v>174.92075869999999</v>
      </c>
      <c r="D174" s="67">
        <f t="shared" si="210"/>
        <v>175.97344129999999</v>
      </c>
      <c r="E174" s="81">
        <f>7479.489/4893.543*100</f>
        <v>152.84404367142579</v>
      </c>
      <c r="F174" s="31">
        <v>282795.15000000002</v>
      </c>
      <c r="G174" s="81">
        <v>50.7</v>
      </c>
      <c r="H174" s="90"/>
      <c r="I174" s="14"/>
      <c r="J174" s="14"/>
    </row>
    <row r="175" spans="1:10" s="15" customFormat="1" ht="16.5" customHeight="1">
      <c r="A175" s="79">
        <v>42865</v>
      </c>
      <c r="B175" s="71">
        <v>175.37190000000001</v>
      </c>
      <c r="C175" s="67">
        <f t="shared" si="211"/>
        <v>174.84578430000002</v>
      </c>
      <c r="D175" s="67">
        <f t="shared" ref="D175:D180" si="212">1.003*B175</f>
        <v>175.8980157</v>
      </c>
      <c r="E175" s="81">
        <f>7521.058/4893.543*100</f>
        <v>153.69350999878822</v>
      </c>
      <c r="F175" s="31">
        <v>284052.01</v>
      </c>
      <c r="G175" s="81">
        <v>50.93</v>
      </c>
      <c r="H175" s="90"/>
      <c r="I175" s="14"/>
      <c r="J175" s="14"/>
    </row>
    <row r="176" spans="1:10" s="15" customFormat="1" ht="16.5" customHeight="1">
      <c r="A176" s="79">
        <v>42858</v>
      </c>
      <c r="B176" s="71">
        <v>173.28579999999999</v>
      </c>
      <c r="C176" s="67">
        <f t="shared" si="211"/>
        <v>172.76594259999999</v>
      </c>
      <c r="D176" s="67">
        <f t="shared" si="212"/>
        <v>173.80565739999997</v>
      </c>
      <c r="E176" s="81">
        <f>7462.394/4893.543*100</f>
        <v>152.49470577861482</v>
      </c>
      <c r="F176" s="31">
        <v>284052.01</v>
      </c>
      <c r="G176" s="81">
        <v>50.32</v>
      </c>
      <c r="H176" s="90"/>
      <c r="I176" s="14"/>
      <c r="J176" s="14"/>
    </row>
    <row r="177" spans="1:10" s="15" customFormat="1" ht="16.5" customHeight="1">
      <c r="A177" s="79">
        <v>42851</v>
      </c>
      <c r="B177" s="71">
        <v>172.1661</v>
      </c>
      <c r="C177" s="67">
        <f t="shared" si="211"/>
        <v>171.64960170000001</v>
      </c>
      <c r="D177" s="67">
        <f t="shared" si="212"/>
        <v>172.6825983</v>
      </c>
      <c r="E177" s="81">
        <f>7453.77/4893.543*100</f>
        <v>152.31847354769337</v>
      </c>
      <c r="F177" s="31">
        <v>282899.59000000003</v>
      </c>
      <c r="G177" s="81">
        <v>49.79</v>
      </c>
      <c r="H177" s="90"/>
      <c r="I177" s="14"/>
      <c r="J177" s="14"/>
    </row>
    <row r="178" spans="1:10" s="15" customFormat="1" ht="16.5" customHeight="1">
      <c r="A178" s="79">
        <v>42844</v>
      </c>
      <c r="B178" s="71">
        <v>167.1446</v>
      </c>
      <c r="C178" s="67">
        <f t="shared" si="211"/>
        <v>166.6431662</v>
      </c>
      <c r="D178" s="67">
        <f t="shared" si="212"/>
        <v>167.64603379999997</v>
      </c>
      <c r="E178" s="81">
        <f>7263.533/4893.543*100</f>
        <v>148.43096300574044</v>
      </c>
      <c r="F178" s="31">
        <v>282899.59000000003</v>
      </c>
      <c r="G178" s="81">
        <v>48.34</v>
      </c>
      <c r="H178" s="90"/>
      <c r="I178" s="14"/>
      <c r="J178" s="14"/>
    </row>
    <row r="179" spans="1:10" s="15" customFormat="1" ht="16.5" customHeight="1">
      <c r="A179" s="79">
        <v>42837</v>
      </c>
      <c r="B179" s="71">
        <v>166.07839999999999</v>
      </c>
      <c r="C179" s="67">
        <f t="shared" si="211"/>
        <v>165.58016479999998</v>
      </c>
      <c r="D179" s="67">
        <f t="shared" si="212"/>
        <v>166.57663519999997</v>
      </c>
      <c r="E179" s="81">
        <f>7292.972/4893.543*100</f>
        <v>149.03255167064026</v>
      </c>
      <c r="F179" s="31">
        <v>283360.59000000003</v>
      </c>
      <c r="G179" s="81">
        <v>48.1</v>
      </c>
      <c r="H179" s="90"/>
      <c r="I179" s="14"/>
      <c r="J179" s="14"/>
    </row>
    <row r="180" spans="1:10" s="15" customFormat="1" ht="16.5" customHeight="1">
      <c r="A180" s="79">
        <v>42830</v>
      </c>
      <c r="B180" s="71">
        <v>167.1952</v>
      </c>
      <c r="C180" s="67">
        <f t="shared" si="211"/>
        <v>166.6936144</v>
      </c>
      <c r="D180" s="67">
        <f t="shared" si="212"/>
        <v>167.69678559999997</v>
      </c>
      <c r="E180" s="81">
        <f>7299.388/4893.543*100</f>
        <v>149.16366321906236</v>
      </c>
      <c r="F180" s="31">
        <v>284858.49</v>
      </c>
      <c r="G180" s="81">
        <v>48.67</v>
      </c>
      <c r="H180" s="90"/>
      <c r="I180" s="14"/>
      <c r="J180" s="14"/>
    </row>
    <row r="181" spans="1:10" s="15" customFormat="1" ht="16.5" customHeight="1">
      <c r="A181" s="79">
        <v>42823</v>
      </c>
      <c r="B181" s="71">
        <v>168.1045</v>
      </c>
      <c r="C181" s="67">
        <f t="shared" ref="C181:C186" si="213">0.997*B181</f>
        <v>167.60018650000001</v>
      </c>
      <c r="D181" s="67">
        <f t="shared" ref="D181:D186" si="214">1.003*B181</f>
        <v>168.6088135</v>
      </c>
      <c r="E181" s="81">
        <f>7337.65/4893.543*100</f>
        <v>149.94555069813427</v>
      </c>
      <c r="F181" s="31">
        <v>284858.49</v>
      </c>
      <c r="G181" s="81">
        <v>48.94</v>
      </c>
      <c r="H181" s="90"/>
      <c r="I181" s="14"/>
      <c r="J181" s="14"/>
    </row>
    <row r="182" spans="1:10" s="15" customFormat="1" ht="16.5" customHeight="1">
      <c r="A182" s="79">
        <v>42816</v>
      </c>
      <c r="B182" s="71">
        <v>166.53370000000001</v>
      </c>
      <c r="C182" s="67">
        <f t="shared" si="213"/>
        <v>166.0340989</v>
      </c>
      <c r="D182" s="67">
        <f t="shared" si="214"/>
        <v>167.03330109999999</v>
      </c>
      <c r="E182" s="81">
        <f>7273.704/4893.543*100</f>
        <v>148.63880832353982</v>
      </c>
      <c r="F182" s="31">
        <v>284858.49</v>
      </c>
      <c r="G182" s="81">
        <v>48.48</v>
      </c>
      <c r="H182" s="90"/>
      <c r="I182" s="14"/>
      <c r="J182" s="14"/>
    </row>
    <row r="183" spans="1:10" s="15" customFormat="1" ht="16.5" customHeight="1">
      <c r="A183" s="79">
        <v>42809</v>
      </c>
      <c r="B183" s="71">
        <v>167.48650000000001</v>
      </c>
      <c r="C183" s="67">
        <f t="shared" si="213"/>
        <v>166.98404050000002</v>
      </c>
      <c r="D183" s="67">
        <f t="shared" si="214"/>
        <v>167.98895949999999</v>
      </c>
      <c r="E183" s="81">
        <f>7315.246/4893.543*100</f>
        <v>149.48772290342603</v>
      </c>
      <c r="F183" s="31">
        <v>299508.98</v>
      </c>
      <c r="G183" s="81">
        <v>51.2</v>
      </c>
      <c r="H183" s="90"/>
      <c r="I183" s="14"/>
      <c r="J183" s="14"/>
    </row>
    <row r="184" spans="1:10" s="15" customFormat="1" ht="16.5" customHeight="1">
      <c r="A184" s="79">
        <v>42802</v>
      </c>
      <c r="B184" s="71">
        <v>164.72659999999999</v>
      </c>
      <c r="C184" s="67">
        <f t="shared" si="213"/>
        <v>164.23242019999998</v>
      </c>
      <c r="D184" s="67">
        <f t="shared" si="214"/>
        <v>165.22077979999997</v>
      </c>
      <c r="E184" s="81">
        <f>7235.53/4893.543*100</f>
        <v>147.85871913253854</v>
      </c>
      <c r="F184" s="31">
        <v>300850.53999999998</v>
      </c>
      <c r="G184" s="81">
        <v>50.61</v>
      </c>
      <c r="H184" s="90"/>
      <c r="I184" s="14"/>
      <c r="J184" s="14"/>
    </row>
    <row r="185" spans="1:10" s="15" customFormat="1" ht="16.5" customHeight="1">
      <c r="A185" s="79">
        <v>42795</v>
      </c>
      <c r="B185" s="71">
        <v>166.15639999999999</v>
      </c>
      <c r="C185" s="67">
        <f t="shared" si="213"/>
        <v>165.6579308</v>
      </c>
      <c r="D185" s="67">
        <f t="shared" si="214"/>
        <v>166.65486919999998</v>
      </c>
      <c r="E185" s="81">
        <f>7316.494/4893.543*100</f>
        <v>149.51322589788217</v>
      </c>
      <c r="F185" s="31">
        <v>300850.53999999998</v>
      </c>
      <c r="G185" s="81">
        <v>51.05</v>
      </c>
      <c r="H185" s="90"/>
      <c r="I185" s="14"/>
      <c r="J185" s="14"/>
    </row>
    <row r="186" spans="1:10" s="15" customFormat="1" ht="16.5" customHeight="1">
      <c r="A186" s="79">
        <v>42788</v>
      </c>
      <c r="B186" s="71">
        <v>165.62976902679551</v>
      </c>
      <c r="C186" s="67">
        <f t="shared" si="213"/>
        <v>165.13287971971513</v>
      </c>
      <c r="D186" s="67">
        <f t="shared" si="214"/>
        <v>166.12665833387589</v>
      </c>
      <c r="E186" s="81">
        <f>7255.526/4893.543*100</f>
        <v>148.26733922640508</v>
      </c>
      <c r="F186" s="31">
        <v>300850.53999999998</v>
      </c>
      <c r="G186" s="81">
        <v>50.884</v>
      </c>
      <c r="H186" s="90"/>
      <c r="I186" s="14"/>
      <c r="J186" s="14"/>
    </row>
    <row r="187" spans="1:10" ht="16.5" customHeight="1">
      <c r="A187" s="79">
        <v>42781</v>
      </c>
      <c r="B187" s="69">
        <v>164.36590981294552</v>
      </c>
      <c r="C187" s="82">
        <f t="shared" ref="C187:C193" si="215">0.997*B187</f>
        <v>163.87281208350669</v>
      </c>
      <c r="D187" s="82">
        <f t="shared" ref="D187:D192" si="216">1.003*B187</f>
        <v>164.85900754238435</v>
      </c>
      <c r="E187" s="81">
        <f>7216.978/4893.543*100</f>
        <v>147.47960731110362</v>
      </c>
      <c r="F187" s="31">
        <v>300850.53999999998</v>
      </c>
      <c r="G187" s="81">
        <v>50.49</v>
      </c>
      <c r="H187" s="91"/>
      <c r="I187" s="4"/>
      <c r="J187" s="4"/>
    </row>
    <row r="188" spans="1:10" s="15" customFormat="1" ht="16.5" customHeight="1">
      <c r="A188" s="79">
        <v>42774</v>
      </c>
      <c r="B188" s="71">
        <v>159.9967</v>
      </c>
      <c r="C188" s="67">
        <f t="shared" si="215"/>
        <v>159.5167099</v>
      </c>
      <c r="D188" s="67">
        <f t="shared" si="216"/>
        <v>160.47669009999998</v>
      </c>
      <c r="E188" s="81">
        <f>7089.458/4893.543*100</f>
        <v>144.87372441603151</v>
      </c>
      <c r="F188" s="31">
        <v>300850.53999999998</v>
      </c>
      <c r="G188" s="81">
        <v>49.14</v>
      </c>
      <c r="H188" s="90"/>
      <c r="I188" s="14"/>
      <c r="J188" s="14"/>
    </row>
    <row r="189" spans="1:10" s="15" customFormat="1" ht="16.5" customHeight="1">
      <c r="A189" s="79">
        <v>42767</v>
      </c>
      <c r="B189" s="71">
        <v>158.8262</v>
      </c>
      <c r="C189" s="67">
        <f t="shared" si="215"/>
        <v>158.34972139999999</v>
      </c>
      <c r="D189" s="67">
        <f t="shared" si="216"/>
        <v>159.30267859999998</v>
      </c>
      <c r="E189" s="81">
        <f>7051.6/4893.543*100</f>
        <v>144.10009271401111</v>
      </c>
      <c r="F189" s="31">
        <v>300850.53999999998</v>
      </c>
      <c r="G189" s="81">
        <v>48.78</v>
      </c>
      <c r="H189" s="90"/>
      <c r="I189" s="14"/>
      <c r="J189" s="14"/>
    </row>
    <row r="190" spans="1:10" s="15" customFormat="1" ht="16.5" customHeight="1">
      <c r="A190" s="79">
        <v>42760</v>
      </c>
      <c r="B190" s="71">
        <v>157.61439999999999</v>
      </c>
      <c r="C190" s="67">
        <f t="shared" si="215"/>
        <v>157.14155679999999</v>
      </c>
      <c r="D190" s="67">
        <f t="shared" si="216"/>
        <v>158.08724319999996</v>
      </c>
      <c r="E190" s="81">
        <f>7098.483/4893.543*100</f>
        <v>145.05815111872934</v>
      </c>
      <c r="F190" s="31">
        <v>301262.09000000003</v>
      </c>
      <c r="G190" s="81">
        <v>48.47</v>
      </c>
      <c r="H190" s="90"/>
      <c r="I190" s="14"/>
      <c r="J190" s="14"/>
    </row>
    <row r="191" spans="1:10" s="15" customFormat="1" ht="16.5" customHeight="1">
      <c r="A191" s="79">
        <v>42753</v>
      </c>
      <c r="B191" s="71">
        <v>154.45050000000001</v>
      </c>
      <c r="C191" s="67">
        <f t="shared" si="215"/>
        <v>153.98714850000002</v>
      </c>
      <c r="D191" s="67">
        <f t="shared" si="216"/>
        <v>154.91385149999999</v>
      </c>
      <c r="E191" s="81">
        <f>7018.518/4893.543*100</f>
        <v>143.42405901000564</v>
      </c>
      <c r="F191" s="31">
        <v>301193.03000000003</v>
      </c>
      <c r="G191" s="81">
        <v>47.49</v>
      </c>
      <c r="H191" s="90"/>
      <c r="I191" s="14"/>
      <c r="J191" s="14"/>
    </row>
    <row r="192" spans="1:10" s="15" customFormat="1" ht="16.5" customHeight="1">
      <c r="A192" s="79">
        <v>42746</v>
      </c>
      <c r="B192" s="71">
        <v>154.65450000000001</v>
      </c>
      <c r="C192" s="67">
        <f t="shared" si="215"/>
        <v>154.19053650000001</v>
      </c>
      <c r="D192" s="67">
        <f t="shared" si="216"/>
        <v>155.11846349999999</v>
      </c>
      <c r="E192" s="81">
        <f>6988.087/4893.543*100</f>
        <v>142.80219873412784</v>
      </c>
      <c r="F192" s="31">
        <v>302992.08</v>
      </c>
      <c r="G192" s="81">
        <v>47.82</v>
      </c>
      <c r="H192" s="90"/>
      <c r="I192" s="14"/>
      <c r="J192" s="14"/>
    </row>
    <row r="193" spans="1:10" s="15" customFormat="1" ht="16.5" customHeight="1">
      <c r="A193" s="79">
        <v>42739</v>
      </c>
      <c r="B193" s="71">
        <v>152.49359999999999</v>
      </c>
      <c r="C193" s="67">
        <f t="shared" si="215"/>
        <v>152.03611919999997</v>
      </c>
      <c r="D193" s="67">
        <f t="shared" ref="D193:D198" si="217">1.003*B193</f>
        <v>152.95108079999997</v>
      </c>
      <c r="E193" s="81">
        <f>6969.542/4893.543*100</f>
        <v>142.42322995833493</v>
      </c>
      <c r="F193" s="31">
        <v>302992.08</v>
      </c>
      <c r="G193" s="81">
        <v>47.15</v>
      </c>
      <c r="H193" s="90"/>
      <c r="I193" s="14"/>
      <c r="J193" s="14"/>
    </row>
    <row r="194" spans="1:10" s="15" customFormat="1" ht="16.5" customHeight="1">
      <c r="A194" s="79">
        <v>42735</v>
      </c>
      <c r="B194" s="71">
        <v>150.57570000000001</v>
      </c>
      <c r="C194" s="67">
        <f t="shared" ref="C194:C200" si="218">0.997*B194</f>
        <v>150.12397290000001</v>
      </c>
      <c r="D194" s="67">
        <f t="shared" si="217"/>
        <v>151.02742709999998</v>
      </c>
      <c r="E194" s="81">
        <f>6879.162/4893.543*100</f>
        <v>140.57630636943418</v>
      </c>
      <c r="F194" s="31">
        <v>302992.08</v>
      </c>
      <c r="G194" s="81">
        <v>46.56</v>
      </c>
      <c r="H194" s="90"/>
      <c r="I194" s="14"/>
      <c r="J194" s="14"/>
    </row>
    <row r="195" spans="1:10" s="15" customFormat="1" ht="16.5" customHeight="1">
      <c r="A195" s="79">
        <v>42732</v>
      </c>
      <c r="B195" s="71">
        <v>150.20439999999999</v>
      </c>
      <c r="C195" s="67">
        <f t="shared" si="218"/>
        <v>149.7537868</v>
      </c>
      <c r="D195" s="67">
        <f t="shared" si="217"/>
        <v>150.65501319999998</v>
      </c>
      <c r="E195" s="81">
        <f>6875.138/4893.543*100</f>
        <v>140.49407556038642</v>
      </c>
      <c r="F195" s="31">
        <v>308894.14</v>
      </c>
      <c r="G195" s="81">
        <v>47.44</v>
      </c>
      <c r="H195" s="90"/>
      <c r="I195" s="14"/>
      <c r="J195" s="14"/>
    </row>
    <row r="196" spans="1:10" s="15" customFormat="1" ht="16.5" customHeight="1">
      <c r="A196" s="79">
        <v>42725</v>
      </c>
      <c r="B196" s="71">
        <v>150.6456</v>
      </c>
      <c r="C196" s="67">
        <f t="shared" si="218"/>
        <v>150.1936632</v>
      </c>
      <c r="D196" s="67">
        <f t="shared" si="217"/>
        <v>151.09753679999997</v>
      </c>
      <c r="E196" s="81">
        <f>6909.933/4893.543*100</f>
        <v>141.205114576494</v>
      </c>
      <c r="F196" s="31">
        <v>308781.39</v>
      </c>
      <c r="G196" s="81">
        <v>47.58</v>
      </c>
      <c r="H196" s="90"/>
      <c r="I196" s="14"/>
      <c r="J196" s="14"/>
    </row>
    <row r="197" spans="1:10" s="15" customFormat="1" ht="16.5" customHeight="1">
      <c r="A197" s="79">
        <v>42718</v>
      </c>
      <c r="B197" s="71">
        <v>153.0224</v>
      </c>
      <c r="C197" s="67">
        <f t="shared" si="218"/>
        <v>152.56333280000001</v>
      </c>
      <c r="D197" s="67">
        <f t="shared" si="217"/>
        <v>153.4814672</v>
      </c>
      <c r="E197" s="81">
        <f>6922.405/4893.543*100</f>
        <v>141.45998104032191</v>
      </c>
      <c r="F197" s="31">
        <v>308043.11</v>
      </c>
      <c r="G197" s="81">
        <v>48.33</v>
      </c>
      <c r="H197" s="90"/>
      <c r="I197" s="98"/>
      <c r="J197" s="14"/>
    </row>
    <row r="198" spans="1:10" s="15" customFormat="1" ht="16.5" customHeight="1">
      <c r="A198" s="79">
        <v>42711</v>
      </c>
      <c r="B198" s="71">
        <v>154.52770000000001</v>
      </c>
      <c r="C198" s="67">
        <f t="shared" si="218"/>
        <v>154.06411690000002</v>
      </c>
      <c r="D198" s="67">
        <f t="shared" si="217"/>
        <v>154.9912831</v>
      </c>
      <c r="E198" s="81">
        <f>6863.957/4893.543*100</f>
        <v>140.26559079995823</v>
      </c>
      <c r="F198" s="31">
        <v>308043.11</v>
      </c>
      <c r="G198" s="81">
        <v>48.8</v>
      </c>
      <c r="H198" s="90"/>
      <c r="I198" s="14"/>
      <c r="J198" s="14"/>
    </row>
    <row r="199" spans="1:10" s="15" customFormat="1" ht="16.5" customHeight="1">
      <c r="A199" s="79">
        <v>42704</v>
      </c>
      <c r="B199" s="71">
        <v>151.49950000000001</v>
      </c>
      <c r="C199" s="67">
        <f t="shared" si="218"/>
        <v>151.04500150000001</v>
      </c>
      <c r="D199" s="67">
        <f t="shared" ref="D199:D204" si="219">1.003*B199</f>
        <v>151.95399849999998</v>
      </c>
      <c r="E199" s="81">
        <f>6716.017/4893.543*100</f>
        <v>137.2424233321338</v>
      </c>
      <c r="F199" s="31">
        <v>309131.12</v>
      </c>
      <c r="G199" s="81">
        <v>48.01</v>
      </c>
      <c r="H199" s="90"/>
      <c r="I199" s="14"/>
      <c r="J199" s="14"/>
    </row>
    <row r="200" spans="1:10" s="15" customFormat="1" ht="16.5" customHeight="1">
      <c r="A200" s="79">
        <v>42697</v>
      </c>
      <c r="B200" s="71">
        <v>152.87960000000001</v>
      </c>
      <c r="C200" s="67">
        <f t="shared" si="218"/>
        <v>152.42096120000002</v>
      </c>
      <c r="D200" s="67">
        <f t="shared" si="219"/>
        <v>153.3382388</v>
      </c>
      <c r="E200" s="81">
        <f>6703.344/4893.543*100</f>
        <v>136.98344941487181</v>
      </c>
      <c r="F200" s="31">
        <v>309131.12</v>
      </c>
      <c r="G200" s="81">
        <v>48.44</v>
      </c>
      <c r="H200" s="90"/>
      <c r="I200" s="14"/>
      <c r="J200" s="14"/>
    </row>
    <row r="201" spans="1:10" s="15" customFormat="1" ht="16.5" customHeight="1">
      <c r="A201" s="79">
        <v>42690</v>
      </c>
      <c r="B201" s="71">
        <v>151.56030000000001</v>
      </c>
      <c r="C201" s="67">
        <f t="shared" ref="C201:C207" si="220">0.997*B201</f>
        <v>151.10561910000001</v>
      </c>
      <c r="D201" s="67">
        <f t="shared" si="219"/>
        <v>152.01498089999998</v>
      </c>
      <c r="E201" s="81">
        <f>6657.321/4893.543*100</f>
        <v>136.04296518902564</v>
      </c>
      <c r="F201" s="31">
        <v>309131.12</v>
      </c>
      <c r="G201" s="81">
        <v>48.02</v>
      </c>
      <c r="H201" s="90"/>
      <c r="I201" s="14"/>
      <c r="J201" s="14"/>
    </row>
    <row r="202" spans="1:10" s="15" customFormat="1" ht="16.5" customHeight="1">
      <c r="A202" s="79">
        <v>42683</v>
      </c>
      <c r="B202" s="71">
        <v>152.3537</v>
      </c>
      <c r="C202" s="67">
        <f t="shared" si="220"/>
        <v>151.8966389</v>
      </c>
      <c r="D202" s="67">
        <f t="shared" si="219"/>
        <v>152.81076109999998</v>
      </c>
      <c r="E202" s="81">
        <f>6644.07/4893.543*100</f>
        <v>135.7721797887543</v>
      </c>
      <c r="F202" s="31">
        <v>309131.12</v>
      </c>
      <c r="G202" s="81">
        <v>48.27</v>
      </c>
      <c r="H202" s="90"/>
      <c r="I202" s="14"/>
      <c r="J202" s="14"/>
    </row>
    <row r="203" spans="1:10" s="15" customFormat="1" ht="16.5" customHeight="1">
      <c r="A203" s="79">
        <v>42676</v>
      </c>
      <c r="B203" s="71">
        <v>151.387</v>
      </c>
      <c r="C203" s="67">
        <f t="shared" si="220"/>
        <v>150.932839</v>
      </c>
      <c r="D203" s="67">
        <f t="shared" si="219"/>
        <v>151.84116099999997</v>
      </c>
      <c r="E203" s="81">
        <f>6547.021/4893.543*100</f>
        <v>133.78897457322844</v>
      </c>
      <c r="F203" s="31">
        <v>309131.12</v>
      </c>
      <c r="G203" s="81">
        <v>47.96</v>
      </c>
      <c r="H203" s="90"/>
      <c r="I203" s="14"/>
      <c r="J203" s="14"/>
    </row>
    <row r="204" spans="1:10" s="15" customFormat="1" ht="16.5" customHeight="1">
      <c r="A204" s="79">
        <v>42669</v>
      </c>
      <c r="B204" s="71">
        <v>153.6842</v>
      </c>
      <c r="C204" s="67">
        <f t="shared" si="220"/>
        <v>153.22314740000002</v>
      </c>
      <c r="D204" s="67">
        <f t="shared" si="219"/>
        <v>154.14525259999999</v>
      </c>
      <c r="E204" s="81">
        <f>6651.278/4893.543*100</f>
        <v>135.91947592981202</v>
      </c>
      <c r="F204" s="31">
        <v>309131.12</v>
      </c>
      <c r="G204" s="81">
        <v>48.68</v>
      </c>
      <c r="H204" s="90"/>
      <c r="I204" s="14"/>
      <c r="J204" s="14"/>
    </row>
    <row r="205" spans="1:10" s="15" customFormat="1" ht="16.5" customHeight="1">
      <c r="A205" s="79">
        <v>42662</v>
      </c>
      <c r="B205" s="71">
        <v>153.6096</v>
      </c>
      <c r="C205" s="67">
        <f t="shared" si="220"/>
        <v>153.1487712</v>
      </c>
      <c r="D205" s="67">
        <f t="shared" ref="D205:D210" si="221">1.003*B205</f>
        <v>154.07042879999997</v>
      </c>
      <c r="E205" s="81">
        <f>6676.614/4893.543*100</f>
        <v>136.43721941341886</v>
      </c>
      <c r="F205" s="31">
        <v>314358.11</v>
      </c>
      <c r="G205" s="81">
        <v>49.46</v>
      </c>
      <c r="H205" s="90"/>
      <c r="I205" s="14"/>
      <c r="J205" s="14"/>
    </row>
    <row r="206" spans="1:10" s="15" customFormat="1" ht="16.5" customHeight="1">
      <c r="A206" s="79">
        <v>42655</v>
      </c>
      <c r="B206" s="71">
        <v>153.1773</v>
      </c>
      <c r="C206" s="67">
        <f t="shared" si="220"/>
        <v>152.7177681</v>
      </c>
      <c r="D206" s="67">
        <f t="shared" si="221"/>
        <v>153.63683189999998</v>
      </c>
      <c r="E206" s="81">
        <f>6631.91/4893.543*100</f>
        <v>135.52368907354037</v>
      </c>
      <c r="F206" s="31">
        <v>314358.11</v>
      </c>
      <c r="G206" s="81">
        <v>49.32</v>
      </c>
      <c r="H206" s="90"/>
      <c r="I206" s="14"/>
      <c r="J206" s="14"/>
    </row>
    <row r="207" spans="1:10" s="15" customFormat="1" ht="16.5" customHeight="1">
      <c r="A207" s="79">
        <v>42648</v>
      </c>
      <c r="B207" s="71">
        <v>154.273</v>
      </c>
      <c r="C207" s="67">
        <f t="shared" si="220"/>
        <v>153.810181</v>
      </c>
      <c r="D207" s="67">
        <f t="shared" si="221"/>
        <v>154.73581899999999</v>
      </c>
      <c r="E207" s="81">
        <f>6730.962/4893.543*100</f>
        <v>137.54782577776473</v>
      </c>
      <c r="F207" s="31">
        <v>314358.11</v>
      </c>
      <c r="G207" s="81">
        <v>49.67</v>
      </c>
      <c r="H207" s="90"/>
      <c r="I207" s="14"/>
      <c r="J207" s="14"/>
    </row>
    <row r="208" spans="1:10" s="15" customFormat="1" ht="16.5" customHeight="1">
      <c r="A208" s="79">
        <v>42641</v>
      </c>
      <c r="B208" s="71">
        <v>155.24289999999999</v>
      </c>
      <c r="C208" s="67">
        <f t="shared" ref="C208:C214" si="222">0.997*B208</f>
        <v>154.77717129999999</v>
      </c>
      <c r="D208" s="67">
        <f t="shared" si="221"/>
        <v>155.70862869999996</v>
      </c>
      <c r="E208" s="81">
        <f>6745.593/4893.543*100</f>
        <v>137.84681160459814</v>
      </c>
      <c r="F208" s="31">
        <v>314358.11</v>
      </c>
      <c r="G208" s="81">
        <v>49.98</v>
      </c>
      <c r="H208" s="90"/>
      <c r="I208" s="14"/>
      <c r="J208" s="14"/>
    </row>
    <row r="209" spans="1:10" s="15" customFormat="1" ht="16.5" customHeight="1">
      <c r="A209" s="79">
        <v>42634</v>
      </c>
      <c r="B209" s="71">
        <v>154.999</v>
      </c>
      <c r="C209" s="67">
        <f t="shared" si="222"/>
        <v>154.53400299999998</v>
      </c>
      <c r="D209" s="67">
        <f t="shared" si="221"/>
        <v>155.46399699999998</v>
      </c>
      <c r="E209" s="81">
        <f>6722.192/4893.543*100</f>
        <v>137.36861002345339</v>
      </c>
      <c r="F209" s="31">
        <v>314358.11</v>
      </c>
      <c r="G209" s="81">
        <v>49.89</v>
      </c>
      <c r="H209" s="90"/>
      <c r="I209" s="14"/>
      <c r="J209" s="14"/>
    </row>
    <row r="210" spans="1:10" s="15" customFormat="1" ht="16.5" customHeight="1">
      <c r="A210" s="79">
        <v>42627</v>
      </c>
      <c r="B210" s="71">
        <v>152.00290000000001</v>
      </c>
      <c r="C210" s="67">
        <f t="shared" si="222"/>
        <v>151.5468913</v>
      </c>
      <c r="D210" s="67">
        <f t="shared" si="221"/>
        <v>152.45890869999999</v>
      </c>
      <c r="E210" s="81">
        <f>6606.706/4893.543*100</f>
        <v>135.00864302203945</v>
      </c>
      <c r="F210" s="31">
        <v>314601</v>
      </c>
      <c r="G210" s="81">
        <v>49.96</v>
      </c>
      <c r="H210" s="90"/>
      <c r="I210" s="14"/>
      <c r="J210" s="14"/>
    </row>
    <row r="211" spans="1:10" s="15" customFormat="1" ht="16.5" customHeight="1">
      <c r="A211" s="79">
        <v>42620</v>
      </c>
      <c r="B211" s="71">
        <v>156.27850000000001</v>
      </c>
      <c r="C211" s="67">
        <f t="shared" si="222"/>
        <v>155.8096645</v>
      </c>
      <c r="D211" s="67">
        <f t="shared" ref="D211:D216" si="223">1.003*B211</f>
        <v>156.74733549999999</v>
      </c>
      <c r="E211" s="81">
        <f>6818.589/4893.543*100</f>
        <v>139.33849155918321</v>
      </c>
      <c r="F211" s="31">
        <v>314601</v>
      </c>
      <c r="G211" s="81">
        <v>50.34</v>
      </c>
      <c r="H211" s="90"/>
      <c r="I211" s="14"/>
      <c r="J211" s="14"/>
    </row>
    <row r="212" spans="1:10" s="15" customFormat="1" ht="16.5" customHeight="1">
      <c r="A212" s="79">
        <v>42613</v>
      </c>
      <c r="B212" s="71">
        <v>152.3219</v>
      </c>
      <c r="C212" s="67">
        <f t="shared" si="222"/>
        <v>151.86493429999999</v>
      </c>
      <c r="D212" s="67">
        <f t="shared" si="223"/>
        <v>152.77886569999998</v>
      </c>
      <c r="E212" s="81">
        <f>6707.42/4893.543*100</f>
        <v>137.06674284868859</v>
      </c>
      <c r="F212" s="31">
        <v>314601.17</v>
      </c>
      <c r="G212" s="81">
        <v>49.06</v>
      </c>
      <c r="H212" s="90"/>
      <c r="I212" s="14"/>
      <c r="J212" s="14"/>
    </row>
    <row r="213" spans="1:10" s="15" customFormat="1" ht="16.5" customHeight="1">
      <c r="A213" s="79">
        <v>42606</v>
      </c>
      <c r="B213" s="71">
        <v>153.00559999999999</v>
      </c>
      <c r="C213" s="67">
        <f t="shared" si="222"/>
        <v>152.54658319999999</v>
      </c>
      <c r="D213" s="67">
        <f t="shared" si="223"/>
        <v>153.46461679999996</v>
      </c>
      <c r="E213" s="81">
        <f>6749.749/4893.543*100</f>
        <v>137.93173984575185</v>
      </c>
      <c r="F213" s="31">
        <v>315430.71999999997</v>
      </c>
      <c r="G213" s="81">
        <v>49.4</v>
      </c>
      <c r="H213" s="90"/>
      <c r="I213" s="14"/>
      <c r="J213" s="14"/>
    </row>
    <row r="214" spans="1:10" s="15" customFormat="1" ht="16.5" customHeight="1">
      <c r="A214" s="79">
        <v>42599</v>
      </c>
      <c r="B214" s="85">
        <v>153.15146799999999</v>
      </c>
      <c r="C214" s="82">
        <f t="shared" si="222"/>
        <v>152.69201359599998</v>
      </c>
      <c r="D214" s="82">
        <f t="shared" si="223"/>
        <v>153.61092240399998</v>
      </c>
      <c r="E214" s="80">
        <f>6749.46/4893.543*100</f>
        <v>137.92583410424717</v>
      </c>
      <c r="F214" s="86">
        <v>315359.46999999997</v>
      </c>
      <c r="G214" s="80">
        <v>49.45</v>
      </c>
      <c r="H214" s="90"/>
      <c r="I214" s="14"/>
      <c r="J214" s="14"/>
    </row>
    <row r="215" spans="1:10" ht="16.5" customHeight="1">
      <c r="A215" s="66">
        <v>42592</v>
      </c>
      <c r="B215" s="71">
        <v>153.52780000000001</v>
      </c>
      <c r="C215" s="82">
        <f t="shared" ref="C215:C221" si="224">0.997*B215</f>
        <v>153.06721660000002</v>
      </c>
      <c r="D215" s="82">
        <f t="shared" si="223"/>
        <v>153.9883834</v>
      </c>
      <c r="E215" s="80">
        <f>6726.42/4893.543*100</f>
        <v>137.45500959121031</v>
      </c>
      <c r="F215" s="31">
        <v>315359.46999999997</v>
      </c>
      <c r="G215" s="81">
        <v>49.56</v>
      </c>
      <c r="H215" s="91"/>
      <c r="I215" s="4"/>
      <c r="J215" s="4"/>
    </row>
    <row r="216" spans="1:10" s="15" customFormat="1" ht="16.5" customHeight="1">
      <c r="A216" s="79">
        <v>42585</v>
      </c>
      <c r="B216" s="71">
        <v>152.2619</v>
      </c>
      <c r="C216" s="67">
        <f t="shared" si="224"/>
        <v>151.80511429999999</v>
      </c>
      <c r="D216" s="67">
        <f t="shared" si="223"/>
        <v>152.71868569999998</v>
      </c>
      <c r="E216" s="81">
        <f>6637.798/4893.543*100</f>
        <v>135.64401089353871</v>
      </c>
      <c r="F216" s="31">
        <v>315359.46999999997</v>
      </c>
      <c r="G216" s="81">
        <v>49.14</v>
      </c>
      <c r="H216" s="90"/>
      <c r="I216" s="14"/>
      <c r="J216" s="14"/>
    </row>
    <row r="217" spans="1:10" s="15" customFormat="1" ht="16.5" customHeight="1">
      <c r="A217" s="79">
        <v>42578</v>
      </c>
      <c r="B217" s="71">
        <v>153.4667</v>
      </c>
      <c r="C217" s="67">
        <f t="shared" si="224"/>
        <v>153.00629990000002</v>
      </c>
      <c r="D217" s="67">
        <f t="shared" ref="D217:D222" si="225">1.003*B217</f>
        <v>153.92710009999999</v>
      </c>
      <c r="E217" s="81">
        <f>6637.798/4893.543*100</f>
        <v>135.64401089353871</v>
      </c>
      <c r="F217" s="31">
        <v>315359.46999999997</v>
      </c>
      <c r="G217" s="81">
        <v>49.53</v>
      </c>
      <c r="H217" s="90"/>
      <c r="I217" s="14"/>
      <c r="J217" s="14"/>
    </row>
    <row r="218" spans="1:10" s="15" customFormat="1" ht="16.5" customHeight="1">
      <c r="A218" s="79">
        <v>42571</v>
      </c>
      <c r="B218" s="71">
        <v>152.6369</v>
      </c>
      <c r="C218" s="67">
        <f t="shared" si="224"/>
        <v>152.17898929999998</v>
      </c>
      <c r="D218" s="67">
        <f t="shared" si="225"/>
        <v>153.09481069999998</v>
      </c>
      <c r="E218" s="81">
        <f>6640.567/4893.543*100</f>
        <v>135.7005956624883</v>
      </c>
      <c r="F218" s="31">
        <v>315359.46999999997</v>
      </c>
      <c r="G218" s="81">
        <v>49.26</v>
      </c>
      <c r="H218" s="90"/>
      <c r="I218" s="14"/>
      <c r="J218" s="14"/>
    </row>
    <row r="219" spans="1:10" s="15" customFormat="1" ht="16.5" customHeight="1">
      <c r="A219" s="79">
        <v>42564</v>
      </c>
      <c r="B219" s="71">
        <v>151.7003</v>
      </c>
      <c r="C219" s="67">
        <f t="shared" si="224"/>
        <v>151.24519910000001</v>
      </c>
      <c r="D219" s="67">
        <f t="shared" si="225"/>
        <v>152.15540089999999</v>
      </c>
      <c r="E219" s="81">
        <f>6589.387/4893.543*100</f>
        <v>134.65472766868504</v>
      </c>
      <c r="F219" s="31">
        <v>315284.67</v>
      </c>
      <c r="G219" s="81">
        <v>48.94</v>
      </c>
      <c r="H219" s="90"/>
      <c r="I219" s="14"/>
      <c r="J219" s="14"/>
    </row>
    <row r="220" spans="1:10" s="15" customFormat="1" ht="16.5" customHeight="1">
      <c r="A220" s="79">
        <v>42557</v>
      </c>
      <c r="B220" s="71">
        <v>147.63480000000001</v>
      </c>
      <c r="C220" s="67">
        <f t="shared" si="224"/>
        <v>147.19189560000001</v>
      </c>
      <c r="D220" s="67">
        <f t="shared" si="225"/>
        <v>148.07770439999999</v>
      </c>
      <c r="E220" s="81">
        <f>6379.586/4893.543*100</f>
        <v>130.36742499248501</v>
      </c>
      <c r="F220" s="31">
        <v>315284.67</v>
      </c>
      <c r="G220" s="81">
        <v>47.63</v>
      </c>
      <c r="H220" s="90"/>
      <c r="I220" s="14"/>
      <c r="J220" s="14"/>
    </row>
    <row r="221" spans="1:10" s="15" customFormat="1" ht="16.5" customHeight="1">
      <c r="A221" s="79">
        <v>42550</v>
      </c>
      <c r="B221" s="71">
        <v>146.8878</v>
      </c>
      <c r="C221" s="67">
        <f t="shared" si="224"/>
        <v>146.44713659999999</v>
      </c>
      <c r="D221" s="67">
        <f t="shared" si="225"/>
        <v>147.32846339999998</v>
      </c>
      <c r="E221" s="81">
        <f>6351.734/4893.543*100</f>
        <v>129.79826681813159</v>
      </c>
      <c r="F221" s="31">
        <v>315284.67</v>
      </c>
      <c r="G221" s="81">
        <v>47.38</v>
      </c>
      <c r="H221" s="90"/>
      <c r="I221" s="14"/>
      <c r="J221" s="14"/>
    </row>
    <row r="222" spans="1:10" s="15" customFormat="1" ht="16.5" customHeight="1">
      <c r="A222" s="79">
        <v>42543</v>
      </c>
      <c r="B222" s="71">
        <v>149.51730000000001</v>
      </c>
      <c r="C222" s="67">
        <f t="shared" ref="C222:C228" si="226">0.997*B222</f>
        <v>149.06874809999999</v>
      </c>
      <c r="D222" s="67">
        <f t="shared" si="225"/>
        <v>149.96585189999999</v>
      </c>
      <c r="E222" s="81">
        <f>6478.567/4893.543*100</f>
        <v>132.39011080519779</v>
      </c>
      <c r="F222" s="31">
        <v>315284.67</v>
      </c>
      <c r="G222" s="81">
        <v>48.23</v>
      </c>
      <c r="H222" s="90"/>
      <c r="I222" s="14"/>
      <c r="J222" s="14"/>
    </row>
    <row r="223" spans="1:10" s="15" customFormat="1" ht="16.5" customHeight="1">
      <c r="A223" s="79">
        <v>42536</v>
      </c>
      <c r="B223" s="71">
        <v>147.41990000000001</v>
      </c>
      <c r="C223" s="67">
        <f t="shared" si="226"/>
        <v>146.97764030000002</v>
      </c>
      <c r="D223" s="67">
        <f t="shared" ref="D223:D228" si="227">1.003*B223</f>
        <v>147.86215970000001</v>
      </c>
      <c r="E223" s="81">
        <f>6343.797/4893.543*100</f>
        <v>129.63607349521604</v>
      </c>
      <c r="F223" s="31">
        <v>315579.78000000003</v>
      </c>
      <c r="G223" s="81">
        <v>47.59</v>
      </c>
      <c r="H223" s="90"/>
      <c r="I223" s="14"/>
      <c r="J223" s="14"/>
    </row>
    <row r="224" spans="1:10" s="15" customFormat="1" ht="16.5" customHeight="1">
      <c r="A224" s="79">
        <v>42529</v>
      </c>
      <c r="B224" s="71">
        <v>151.5985</v>
      </c>
      <c r="C224" s="67">
        <f t="shared" si="226"/>
        <v>151.14370450000001</v>
      </c>
      <c r="D224" s="67">
        <f t="shared" si="227"/>
        <v>152.05329549999999</v>
      </c>
      <c r="E224" s="81">
        <f>6488.956/4893.543*100</f>
        <v>132.60241097299036</v>
      </c>
      <c r="F224" s="31">
        <v>315579.78000000003</v>
      </c>
      <c r="G224" s="81">
        <v>48.94</v>
      </c>
      <c r="H224" s="90"/>
      <c r="I224" s="14"/>
      <c r="J224" s="14"/>
    </row>
    <row r="225" spans="1:10" s="15" customFormat="1" ht="16.5" customHeight="1">
      <c r="A225" s="79">
        <v>42522</v>
      </c>
      <c r="B225" s="71">
        <v>149.40430000000001</v>
      </c>
      <c r="C225" s="67">
        <f t="shared" si="226"/>
        <v>148.95608710000002</v>
      </c>
      <c r="D225" s="67">
        <f t="shared" si="227"/>
        <v>149.85251289999999</v>
      </c>
      <c r="E225" s="81">
        <f>6488.956/4893.543*100</f>
        <v>132.60241097299036</v>
      </c>
      <c r="F225" s="31">
        <v>315579.78000000003</v>
      </c>
      <c r="G225" s="81">
        <v>48.23</v>
      </c>
      <c r="H225" s="90"/>
      <c r="I225" s="14"/>
      <c r="J225" s="14"/>
    </row>
    <row r="226" spans="1:10" s="15" customFormat="1" ht="16.5" customHeight="1">
      <c r="A226" s="79">
        <v>42515</v>
      </c>
      <c r="B226" s="71">
        <v>149.32339999999999</v>
      </c>
      <c r="C226" s="67">
        <f t="shared" si="226"/>
        <v>148.87542979999998</v>
      </c>
      <c r="D226" s="67">
        <f t="shared" si="227"/>
        <v>149.77137019999998</v>
      </c>
      <c r="E226" s="81">
        <f>6469.93/4893.543*100</f>
        <v>132.21361291808412</v>
      </c>
      <c r="F226" s="31">
        <v>315579.78000000003</v>
      </c>
      <c r="G226" s="81">
        <v>48.2</v>
      </c>
      <c r="H226" s="90"/>
      <c r="I226" s="14"/>
      <c r="J226" s="14"/>
    </row>
    <row r="227" spans="1:10" s="15" customFormat="1" ht="16.5" customHeight="1">
      <c r="A227" s="79">
        <v>42508</v>
      </c>
      <c r="B227" s="71">
        <v>148.24279999999999</v>
      </c>
      <c r="C227" s="67">
        <f t="shared" si="226"/>
        <v>147.79807159999999</v>
      </c>
      <c r="D227" s="67">
        <f t="shared" si="227"/>
        <v>148.68752839999996</v>
      </c>
      <c r="E227" s="81">
        <f>6357.268/4893.543*100</f>
        <v>129.91135461566395</v>
      </c>
      <c r="F227" s="31">
        <v>315579.78000000003</v>
      </c>
      <c r="G227" s="81">
        <v>47.85</v>
      </c>
      <c r="H227" s="90"/>
      <c r="I227" s="14"/>
      <c r="J227" s="14"/>
    </row>
    <row r="228" spans="1:10" s="15" customFormat="1" ht="16.5" customHeight="1">
      <c r="A228" s="79">
        <v>42501</v>
      </c>
      <c r="B228" s="71">
        <v>149.03219999999999</v>
      </c>
      <c r="C228" s="67">
        <f t="shared" si="226"/>
        <v>148.58510339999998</v>
      </c>
      <c r="D228" s="67">
        <f t="shared" si="227"/>
        <v>149.47929659999997</v>
      </c>
      <c r="E228" s="81">
        <f>6396.633/4893.543*100</f>
        <v>130.71578200089385</v>
      </c>
      <c r="F228" s="31">
        <v>316062.78000000003</v>
      </c>
      <c r="G228" s="81">
        <v>48.17</v>
      </c>
      <c r="H228" s="90"/>
      <c r="I228" s="14"/>
      <c r="J228" s="14"/>
    </row>
    <row r="229" spans="1:10" s="15" customFormat="1" ht="16.5" customHeight="1">
      <c r="A229" s="79">
        <v>42494</v>
      </c>
      <c r="B229" s="71">
        <v>149.4384</v>
      </c>
      <c r="C229" s="67">
        <f t="shared" ref="C229:C235" si="228">0.997*B229</f>
        <v>148.99008480000001</v>
      </c>
      <c r="D229" s="67">
        <f t="shared" ref="D229:D234" si="229">1.003*B229</f>
        <v>149.8867152</v>
      </c>
      <c r="E229" s="81">
        <f>6352.484/4893.543*100</f>
        <v>129.81359313691533</v>
      </c>
      <c r="F229" s="31">
        <v>316062.78000000003</v>
      </c>
      <c r="G229" s="81">
        <v>48.3</v>
      </c>
      <c r="H229" s="90"/>
      <c r="I229" s="14"/>
      <c r="J229" s="14"/>
    </row>
    <row r="230" spans="1:10" s="15" customFormat="1" ht="16.5" customHeight="1">
      <c r="A230" s="79">
        <v>42487</v>
      </c>
      <c r="B230" s="71">
        <v>151.0266</v>
      </c>
      <c r="C230" s="67">
        <f t="shared" si="228"/>
        <v>150.57352019999999</v>
      </c>
      <c r="D230" s="67">
        <f t="shared" si="229"/>
        <v>151.47967979999999</v>
      </c>
      <c r="E230" s="81">
        <f>6508.145/4893.543*100</f>
        <v>132.99453994784557</v>
      </c>
      <c r="F230" s="31">
        <v>316062.78000000003</v>
      </c>
      <c r="G230" s="81">
        <v>48.81</v>
      </c>
      <c r="H230" s="90"/>
      <c r="I230" s="14"/>
      <c r="J230" s="14"/>
    </row>
    <row r="231" spans="1:10" s="15" customFormat="1" ht="16.5" customHeight="1">
      <c r="A231" s="79">
        <v>42480</v>
      </c>
      <c r="B231" s="71">
        <v>151.8134</v>
      </c>
      <c r="C231" s="67">
        <f t="shared" si="228"/>
        <v>151.3579598</v>
      </c>
      <c r="D231" s="67">
        <f t="shared" si="229"/>
        <v>152.26884019999997</v>
      </c>
      <c r="E231" s="81">
        <f>6539.684/4893.543*100</f>
        <v>133.63904230533993</v>
      </c>
      <c r="F231" s="31">
        <v>316749.45</v>
      </c>
      <c r="G231" s="81">
        <v>49.17</v>
      </c>
      <c r="H231" s="90"/>
      <c r="I231" s="14"/>
      <c r="J231" s="14"/>
    </row>
    <row r="232" spans="1:10" s="15" customFormat="1" ht="16.5" customHeight="1">
      <c r="A232" s="79">
        <v>42473</v>
      </c>
      <c r="B232" s="71">
        <v>150.83009999999999</v>
      </c>
      <c r="C232" s="67">
        <f t="shared" si="228"/>
        <v>150.37760969999999</v>
      </c>
      <c r="D232" s="67">
        <f t="shared" si="229"/>
        <v>151.28259029999998</v>
      </c>
      <c r="E232" s="81">
        <f>6426.355/4893.543*100</f>
        <v>131.32315379674807</v>
      </c>
      <c r="F232" s="31">
        <v>317787.88</v>
      </c>
      <c r="G232" s="81">
        <v>49</v>
      </c>
      <c r="H232" s="90"/>
      <c r="I232" s="14"/>
      <c r="J232" s="14"/>
    </row>
    <row r="233" spans="1:10" s="15" customFormat="1" ht="16.5" customHeight="1">
      <c r="A233" s="79">
        <v>42466</v>
      </c>
      <c r="B233" s="71">
        <v>149.206681</v>
      </c>
      <c r="C233" s="67">
        <f t="shared" si="228"/>
        <v>148.759060957</v>
      </c>
      <c r="D233" s="67">
        <f t="shared" si="229"/>
        <v>149.65430104299998</v>
      </c>
      <c r="E233" s="81">
        <f>6295.166/4893.543*100</f>
        <v>128.64229455018582</v>
      </c>
      <c r="F233" s="31">
        <v>321097.09000000003</v>
      </c>
      <c r="G233" s="81">
        <v>48.87</v>
      </c>
      <c r="H233" s="90"/>
      <c r="I233" s="14"/>
      <c r="J233" s="14"/>
    </row>
    <row r="234" spans="1:10" s="15" customFormat="1" ht="16.5" customHeight="1">
      <c r="A234" s="79">
        <v>42459</v>
      </c>
      <c r="B234" s="71">
        <v>150.21369999999999</v>
      </c>
      <c r="C234" s="67">
        <f t="shared" si="228"/>
        <v>149.76305889999998</v>
      </c>
      <c r="D234" s="67">
        <f t="shared" si="229"/>
        <v>150.66434109999997</v>
      </c>
      <c r="E234" s="81">
        <f>6366.363/4893.543*100</f>
        <v>130.09721177478158</v>
      </c>
      <c r="F234" s="31">
        <v>321097.09000000003</v>
      </c>
      <c r="G234" s="81">
        <v>49.29</v>
      </c>
      <c r="H234" s="90"/>
      <c r="I234" s="14"/>
      <c r="J234" s="14"/>
    </row>
    <row r="235" spans="1:10" s="15" customFormat="1" ht="16.5" customHeight="1">
      <c r="A235" s="79">
        <v>42452</v>
      </c>
      <c r="B235" s="71">
        <v>148.1354</v>
      </c>
      <c r="C235" s="67">
        <f t="shared" si="228"/>
        <v>147.6909938</v>
      </c>
      <c r="D235" s="67">
        <f t="shared" ref="D235:D240" si="230">1.003*B235</f>
        <v>148.57980619999998</v>
      </c>
      <c r="E235" s="81">
        <f>6276.043/4893.543*100</f>
        <v>128.25151429138359</v>
      </c>
      <c r="F235" s="31">
        <v>322273.86</v>
      </c>
      <c r="G235" s="81">
        <v>48.78</v>
      </c>
      <c r="H235" s="90"/>
      <c r="I235" s="14"/>
      <c r="J235" s="14"/>
    </row>
    <row r="236" spans="1:10" s="15" customFormat="1" ht="16.5" customHeight="1">
      <c r="A236" s="79">
        <v>42445</v>
      </c>
      <c r="B236" s="71">
        <v>147.2987</v>
      </c>
      <c r="C236" s="67">
        <f t="shared" ref="C236:C242" si="231">0.997*B236</f>
        <v>146.85680389999999</v>
      </c>
      <c r="D236" s="67">
        <f t="shared" si="230"/>
        <v>147.74059609999998</v>
      </c>
      <c r="E236" s="81">
        <f>6234.751/4893.543*100</f>
        <v>127.40770848442531</v>
      </c>
      <c r="F236" s="31">
        <v>322273.86</v>
      </c>
      <c r="G236" s="81">
        <v>48.5</v>
      </c>
      <c r="H236" s="90"/>
      <c r="I236" s="14"/>
      <c r="J236" s="14"/>
    </row>
    <row r="237" spans="1:10" s="15" customFormat="1" ht="16.5" customHeight="1">
      <c r="A237" s="79">
        <v>42438</v>
      </c>
      <c r="B237" s="71">
        <v>145.08529999999999</v>
      </c>
      <c r="C237" s="67">
        <f t="shared" si="231"/>
        <v>144.6500441</v>
      </c>
      <c r="D237" s="67">
        <f t="shared" si="230"/>
        <v>145.52055589999998</v>
      </c>
      <c r="E237" s="81">
        <f>6143.436/4893.543*100</f>
        <v>125.54167808477416</v>
      </c>
      <c r="F237" s="31">
        <v>322273.86</v>
      </c>
      <c r="G237" s="81">
        <v>47.77</v>
      </c>
      <c r="H237" s="90"/>
      <c r="I237" s="14"/>
      <c r="J237" s="14"/>
    </row>
    <row r="238" spans="1:10" s="15" customFormat="1" ht="16.5" customHeight="1">
      <c r="A238" s="79">
        <v>42431</v>
      </c>
      <c r="B238" s="71">
        <v>144.66996499999999</v>
      </c>
      <c r="C238" s="67">
        <f t="shared" si="231"/>
        <v>144.23595510499999</v>
      </c>
      <c r="D238" s="67">
        <f t="shared" si="230"/>
        <v>145.10397489499996</v>
      </c>
      <c r="E238" s="81">
        <f>6098.991/4893.543*100</f>
        <v>124.63344043364901</v>
      </c>
      <c r="F238" s="31">
        <v>322273</v>
      </c>
      <c r="G238" s="81">
        <v>47.63</v>
      </c>
      <c r="H238" s="90"/>
      <c r="I238" s="14"/>
      <c r="J238" s="14"/>
    </row>
    <row r="239" spans="1:10" s="15" customFormat="1" ht="16.5" customHeight="1">
      <c r="A239" s="79">
        <v>42424</v>
      </c>
      <c r="B239" s="71">
        <v>141.125496</v>
      </c>
      <c r="C239" s="67">
        <f t="shared" si="231"/>
        <v>140.702119512</v>
      </c>
      <c r="D239" s="67">
        <f t="shared" si="230"/>
        <v>141.54887248799997</v>
      </c>
      <c r="E239" s="81">
        <f>5888.987/4893.543*100</f>
        <v>120.3419894338315</v>
      </c>
      <c r="F239" s="31">
        <v>325693</v>
      </c>
      <c r="G239" s="81">
        <v>46.95</v>
      </c>
      <c r="H239" s="90"/>
      <c r="I239" s="14"/>
      <c r="J239" s="14"/>
    </row>
    <row r="240" spans="1:10" s="15" customFormat="1" ht="16.5" customHeight="1">
      <c r="A240" s="79">
        <v>42417</v>
      </c>
      <c r="B240" s="71">
        <v>139.64366799999999</v>
      </c>
      <c r="C240" s="67">
        <f t="shared" si="231"/>
        <v>139.22473699599999</v>
      </c>
      <c r="D240" s="67">
        <f t="shared" si="230"/>
        <v>140.06259900399996</v>
      </c>
      <c r="E240" s="81">
        <f>5922.479/4893.543*100</f>
        <v>121.02640152543873</v>
      </c>
      <c r="F240" s="31">
        <v>329414</v>
      </c>
      <c r="G240" s="81">
        <v>46.972000000000001</v>
      </c>
      <c r="H240" s="90">
        <v>46.972000000000001</v>
      </c>
      <c r="I240" s="14"/>
      <c r="J240" s="14"/>
    </row>
    <row r="241" spans="1:10" s="15" customFormat="1" ht="16.5" customHeight="1">
      <c r="A241" s="79">
        <v>42410</v>
      </c>
      <c r="B241" s="71">
        <v>135.2741</v>
      </c>
      <c r="C241" s="67">
        <f t="shared" si="231"/>
        <v>134.86827769999999</v>
      </c>
      <c r="D241" s="67">
        <f t="shared" ref="D241:D246" si="232">1.003*B241</f>
        <v>135.67992229999999</v>
      </c>
      <c r="E241" s="81">
        <f>5698.076/4893.543*100</f>
        <v>116.44070564006488</v>
      </c>
      <c r="F241" s="31">
        <v>331086.58</v>
      </c>
      <c r="G241" s="81">
        <v>45.72</v>
      </c>
      <c r="H241" s="90"/>
      <c r="I241" s="14"/>
      <c r="J241" s="14"/>
    </row>
    <row r="242" spans="1:10" s="15" customFormat="1" ht="16.5" customHeight="1">
      <c r="A242" s="79">
        <v>42403</v>
      </c>
      <c r="B242" s="71">
        <v>138.578</v>
      </c>
      <c r="C242" s="67">
        <f t="shared" si="231"/>
        <v>138.16226600000002</v>
      </c>
      <c r="D242" s="67">
        <f t="shared" si="232"/>
        <v>138.99373399999999</v>
      </c>
      <c r="E242" s="81">
        <f>5901.895/4893.543*100</f>
        <v>120.60576559764573</v>
      </c>
      <c r="F242" s="31">
        <v>331086.58</v>
      </c>
      <c r="G242" s="81">
        <v>46.84</v>
      </c>
      <c r="H242" s="90"/>
      <c r="I242" s="14"/>
      <c r="J242" s="14"/>
    </row>
    <row r="243" spans="1:10" s="15" customFormat="1" ht="16.5" customHeight="1">
      <c r="A243" s="84">
        <v>42396</v>
      </c>
      <c r="B243" s="85">
        <v>137.38810000000001</v>
      </c>
      <c r="C243" s="82">
        <f t="shared" ref="C243:C248" si="233">0.997*B243</f>
        <v>136.97593570000001</v>
      </c>
      <c r="D243" s="82">
        <f t="shared" si="232"/>
        <v>137.80026429999998</v>
      </c>
      <c r="E243" s="80">
        <f>5863.248/4893.543*100</f>
        <v>119.8160106082648</v>
      </c>
      <c r="F243" s="86">
        <v>336040.38</v>
      </c>
      <c r="G243" s="80">
        <v>47.11</v>
      </c>
      <c r="H243" s="90"/>
      <c r="I243" s="14"/>
      <c r="J243" s="14"/>
    </row>
    <row r="244" spans="1:10" s="15" customFormat="1" ht="16.5" customHeight="1">
      <c r="A244" s="79">
        <v>42389</v>
      </c>
      <c r="B244" s="71">
        <v>134.4117</v>
      </c>
      <c r="C244" s="67">
        <f t="shared" si="233"/>
        <v>134.00846490000001</v>
      </c>
      <c r="D244" s="67">
        <f t="shared" si="232"/>
        <v>134.81493509999999</v>
      </c>
      <c r="E244" s="81">
        <f>5709.872/4893.543*100</f>
        <v>116.68175798189576</v>
      </c>
      <c r="F244" s="31">
        <v>337845.73</v>
      </c>
      <c r="G244" s="81">
        <v>46.33</v>
      </c>
      <c r="H244" s="90"/>
      <c r="I244" s="14"/>
      <c r="J244" s="14"/>
    </row>
    <row r="245" spans="1:10" s="15" customFormat="1" ht="16.5" customHeight="1">
      <c r="A245" s="79">
        <v>42382</v>
      </c>
      <c r="B245" s="71">
        <v>138.04830000000001</v>
      </c>
      <c r="C245" s="67">
        <f t="shared" si="233"/>
        <v>137.63415510000002</v>
      </c>
      <c r="D245" s="67">
        <f t="shared" si="232"/>
        <v>138.46244490000001</v>
      </c>
      <c r="E245" s="81">
        <f>5910.206/4893.543*100</f>
        <v>120.77560164486141</v>
      </c>
      <c r="F245" s="31">
        <v>339825.63</v>
      </c>
      <c r="G245" s="81">
        <v>47.85</v>
      </c>
      <c r="H245" s="90"/>
      <c r="I245" s="14"/>
      <c r="J245" s="14"/>
    </row>
    <row r="246" spans="1:10" s="15" customFormat="1" ht="16.5" customHeight="1">
      <c r="A246" s="79">
        <v>42375</v>
      </c>
      <c r="B246" s="71">
        <v>142.69710000000001</v>
      </c>
      <c r="C246" s="67">
        <f t="shared" si="233"/>
        <v>142.2690087</v>
      </c>
      <c r="D246" s="67">
        <f t="shared" si="232"/>
        <v>143.12519129999998</v>
      </c>
      <c r="E246" s="81">
        <f>6161.512/4893.543*100</f>
        <v>125.91106280255431</v>
      </c>
      <c r="F246" s="31">
        <v>342064.62</v>
      </c>
      <c r="G246" s="81">
        <v>49.78</v>
      </c>
      <c r="H246" s="90"/>
      <c r="I246" s="14"/>
      <c r="J246" s="14"/>
    </row>
    <row r="247" spans="1:10" s="15" customFormat="1" ht="16.5" customHeight="1">
      <c r="A247" s="79">
        <v>42369</v>
      </c>
      <c r="B247" s="71">
        <v>145.5549</v>
      </c>
      <c r="C247" s="67">
        <f t="shared" si="233"/>
        <v>145.11823530000001</v>
      </c>
      <c r="D247" s="67">
        <f t="shared" ref="D247:D252" si="234">1.003*B247</f>
        <v>145.9915647</v>
      </c>
      <c r="E247" s="81">
        <f>6360.575/4893.543*100</f>
        <v>129.97893346395443</v>
      </c>
      <c r="F247" s="31">
        <v>342064.62</v>
      </c>
      <c r="G247" s="81">
        <v>50.78</v>
      </c>
      <c r="H247" s="90"/>
      <c r="I247" s="14"/>
      <c r="J247" s="14"/>
    </row>
    <row r="248" spans="1:10" s="15" customFormat="1" ht="16.5" customHeight="1">
      <c r="A248" s="79">
        <v>42368</v>
      </c>
      <c r="B248" s="71">
        <v>146.24809999999999</v>
      </c>
      <c r="C248" s="67">
        <f t="shared" si="233"/>
        <v>145.8093557</v>
      </c>
      <c r="D248" s="67">
        <f t="shared" si="234"/>
        <v>146.68684429999999</v>
      </c>
      <c r="E248" s="81">
        <f>6412.578/4893.543*100</f>
        <v>131.04161953823643</v>
      </c>
      <c r="F248" s="31">
        <v>342064.62</v>
      </c>
      <c r="G248" s="81">
        <v>51.02</v>
      </c>
      <c r="H248" s="90"/>
      <c r="I248" s="14"/>
      <c r="J248" s="14"/>
    </row>
    <row r="249" spans="1:10" s="15" customFormat="1" ht="16.5" customHeight="1">
      <c r="A249" s="79">
        <v>42361</v>
      </c>
      <c r="B249" s="71">
        <v>145.8262</v>
      </c>
      <c r="C249" s="67">
        <f t="shared" ref="C249:C255" si="235">0.997*B249</f>
        <v>145.38872140000001</v>
      </c>
      <c r="D249" s="67">
        <f t="shared" si="234"/>
        <v>146.26367859999999</v>
      </c>
      <c r="E249" s="81">
        <f>6391.137/4893.543*100</f>
        <v>130.6034707368465</v>
      </c>
      <c r="F249" s="31">
        <v>342649.19</v>
      </c>
      <c r="G249" s="81">
        <v>50.95</v>
      </c>
      <c r="H249" s="90"/>
      <c r="I249" s="14"/>
      <c r="J249" s="14"/>
    </row>
    <row r="250" spans="1:10" s="15" customFormat="1" ht="16.5" customHeight="1">
      <c r="A250" s="79">
        <v>42354</v>
      </c>
      <c r="B250" s="71">
        <v>145.31399999999999</v>
      </c>
      <c r="C250" s="67">
        <f t="shared" si="235"/>
        <v>144.87805799999998</v>
      </c>
      <c r="D250" s="67">
        <f t="shared" si="234"/>
        <v>145.74994199999998</v>
      </c>
      <c r="E250" s="81">
        <f>6378.251/4893.543*100</f>
        <v>130.34014414504992</v>
      </c>
      <c r="F250" s="31">
        <v>342127.75</v>
      </c>
      <c r="G250" s="81">
        <v>50.7</v>
      </c>
      <c r="H250" s="90"/>
      <c r="I250" s="14"/>
      <c r="J250" s="14"/>
    </row>
    <row r="251" spans="1:10" s="15" customFormat="1" ht="16.5" customHeight="1">
      <c r="A251" s="79">
        <v>42347</v>
      </c>
      <c r="B251" s="71">
        <v>144.45070000000001</v>
      </c>
      <c r="C251" s="67">
        <f t="shared" si="235"/>
        <v>144.0173479</v>
      </c>
      <c r="D251" s="67">
        <f t="shared" si="234"/>
        <v>144.88405209999999</v>
      </c>
      <c r="E251" s="81">
        <f>6359.674/4893.543*100</f>
        <v>129.96052144632225</v>
      </c>
      <c r="F251" s="31">
        <v>342127.75</v>
      </c>
      <c r="G251" s="81">
        <v>50.39</v>
      </c>
      <c r="H251" s="90"/>
      <c r="I251" s="14"/>
      <c r="J251" s="14"/>
    </row>
    <row r="252" spans="1:10" s="15" customFormat="1" ht="16.5" customHeight="1">
      <c r="A252" s="79">
        <v>42340</v>
      </c>
      <c r="B252" s="71">
        <v>146.81120000000001</v>
      </c>
      <c r="C252" s="67">
        <f t="shared" si="235"/>
        <v>146.37076640000001</v>
      </c>
      <c r="D252" s="67">
        <f t="shared" si="234"/>
        <v>147.25163359999999</v>
      </c>
      <c r="E252" s="81">
        <f>6480.028/4893.543*100</f>
        <v>132.41996647418856</v>
      </c>
      <c r="F252" s="31">
        <v>358692.01</v>
      </c>
      <c r="G252" s="81">
        <v>53.65</v>
      </c>
      <c r="H252" s="90"/>
      <c r="I252" s="14"/>
      <c r="J252" s="14"/>
    </row>
    <row r="253" spans="1:10" s="15" customFormat="1" ht="16.5" customHeight="1">
      <c r="A253" s="79">
        <v>42333</v>
      </c>
      <c r="B253" s="71">
        <v>146.96559999999999</v>
      </c>
      <c r="C253" s="67">
        <f t="shared" si="235"/>
        <v>146.5247032</v>
      </c>
      <c r="D253" s="67">
        <f t="shared" ref="D253:D258" si="236">1.003*B253</f>
        <v>147.40649679999999</v>
      </c>
      <c r="E253" s="81">
        <f>6483.371/4893.543*100</f>
        <v>132.48828098578068</v>
      </c>
      <c r="F253" s="31">
        <v>360678.46</v>
      </c>
      <c r="G253" s="81">
        <v>53.99</v>
      </c>
      <c r="H253" s="90"/>
      <c r="I253" s="14"/>
      <c r="J253" s="14"/>
    </row>
    <row r="254" spans="1:10" s="15" customFormat="1" ht="16.5" customHeight="1">
      <c r="A254" s="79">
        <v>42326</v>
      </c>
      <c r="B254" s="71">
        <v>146.2679</v>
      </c>
      <c r="C254" s="67">
        <f t="shared" si="235"/>
        <v>145.8290963</v>
      </c>
      <c r="D254" s="67">
        <f t="shared" si="236"/>
        <v>146.70670369999999</v>
      </c>
      <c r="E254" s="81">
        <f>6457.085/4893.543*100</f>
        <v>131.9511241650477</v>
      </c>
      <c r="F254" s="31">
        <v>360678.46</v>
      </c>
      <c r="G254" s="81">
        <v>53.73</v>
      </c>
      <c r="H254" s="90"/>
      <c r="I254" s="14"/>
      <c r="J254" s="14"/>
    </row>
    <row r="255" spans="1:10" s="15" customFormat="1" ht="16.5" customHeight="1">
      <c r="A255" s="79">
        <v>42319</v>
      </c>
      <c r="B255" s="71">
        <v>147.46379999999999</v>
      </c>
      <c r="C255" s="67">
        <f t="shared" si="235"/>
        <v>147.0214086</v>
      </c>
      <c r="D255" s="67">
        <f t="shared" si="236"/>
        <v>147.90619139999998</v>
      </c>
      <c r="E255" s="81">
        <f>6454.241/4893.543*100</f>
        <v>131.89300676421971</v>
      </c>
      <c r="F255" s="31">
        <v>385714.15</v>
      </c>
      <c r="G255" s="81">
        <v>58.26</v>
      </c>
      <c r="H255" s="90"/>
      <c r="I255" s="14"/>
      <c r="J255" s="14"/>
    </row>
    <row r="256" spans="1:10" s="15" customFormat="1" ht="16.5" customHeight="1">
      <c r="A256" s="79">
        <v>42312</v>
      </c>
      <c r="B256" s="71">
        <v>148.91159999999999</v>
      </c>
      <c r="C256" s="67">
        <f t="shared" ref="C256:C262" si="237">0.997*B256</f>
        <v>148.46486519999999</v>
      </c>
      <c r="D256" s="67">
        <f t="shared" si="236"/>
        <v>149.35833479999997</v>
      </c>
      <c r="E256" s="81">
        <f>6533.217/4893.543*100</f>
        <v>133.50688856724057</v>
      </c>
      <c r="F256" s="31">
        <v>385714.15</v>
      </c>
      <c r="G256" s="81">
        <v>58.83</v>
      </c>
      <c r="H256" s="90"/>
      <c r="I256" s="14"/>
      <c r="J256" s="14"/>
    </row>
    <row r="257" spans="1:10" s="15" customFormat="1" ht="16.5" customHeight="1">
      <c r="A257" s="79">
        <v>42305</v>
      </c>
      <c r="B257" s="71">
        <v>149.39599999999999</v>
      </c>
      <c r="C257" s="67">
        <f t="shared" si="237"/>
        <v>148.947812</v>
      </c>
      <c r="D257" s="67">
        <f t="shared" si="236"/>
        <v>149.84418799999997</v>
      </c>
      <c r="E257" s="81">
        <f>6531.636/4893.543*100</f>
        <v>133.47458068724441</v>
      </c>
      <c r="F257" s="31">
        <v>401636.13</v>
      </c>
      <c r="G257" s="81">
        <v>61.4</v>
      </c>
      <c r="H257" s="90"/>
      <c r="I257" s="14"/>
      <c r="J257" s="14"/>
    </row>
    <row r="258" spans="1:10" s="15" customFormat="1" ht="16.5" customHeight="1">
      <c r="A258" s="79">
        <v>42298</v>
      </c>
      <c r="B258" s="71">
        <v>146.67060000000001</v>
      </c>
      <c r="C258" s="67">
        <f t="shared" si="237"/>
        <v>146.2305882</v>
      </c>
      <c r="D258" s="67">
        <f t="shared" si="236"/>
        <v>147.11061179999999</v>
      </c>
      <c r="E258" s="81">
        <f>6372.911/4893.543*100</f>
        <v>130.2310207553096</v>
      </c>
      <c r="F258" s="31">
        <v>401636.13</v>
      </c>
      <c r="G258" s="81">
        <v>60.27</v>
      </c>
      <c r="H258" s="90"/>
      <c r="I258" s="14"/>
      <c r="J258" s="14"/>
    </row>
    <row r="259" spans="1:10" s="15" customFormat="1" ht="16.5" customHeight="1">
      <c r="A259" s="79">
        <v>42291</v>
      </c>
      <c r="B259" s="71">
        <v>144.8997</v>
      </c>
      <c r="C259" s="67">
        <f t="shared" si="237"/>
        <v>144.46500090000001</v>
      </c>
      <c r="D259" s="67">
        <f t="shared" ref="D259:D264" si="238">1.003*B259</f>
        <v>145.33439909999998</v>
      </c>
      <c r="E259" s="81">
        <f>6296.449/4893.543*100</f>
        <v>128.6685127728519</v>
      </c>
      <c r="F259" s="31">
        <v>433336.13</v>
      </c>
      <c r="G259" s="81">
        <v>64.13</v>
      </c>
      <c r="H259" s="90"/>
      <c r="I259" s="14"/>
      <c r="J259" s="14"/>
    </row>
    <row r="260" spans="1:10" s="15" customFormat="1" ht="16.5" customHeight="1">
      <c r="A260" s="79">
        <v>42284</v>
      </c>
      <c r="B260" s="71">
        <v>144.60720000000001</v>
      </c>
      <c r="C260" s="67">
        <f t="shared" si="237"/>
        <v>144.17337840000002</v>
      </c>
      <c r="D260" s="67">
        <f t="shared" si="238"/>
        <v>145.04102159999999</v>
      </c>
      <c r="E260" s="81">
        <f>6296.989/4893.543*100</f>
        <v>128.67954772237618</v>
      </c>
      <c r="F260" s="31">
        <v>436773.01</v>
      </c>
      <c r="G260" s="81">
        <v>64.55</v>
      </c>
      <c r="H260" s="90"/>
      <c r="I260" s="14"/>
      <c r="J260" s="14"/>
    </row>
    <row r="261" spans="1:10" s="15" customFormat="1" ht="16.5" customHeight="1">
      <c r="A261" s="79">
        <v>42277</v>
      </c>
      <c r="B261" s="71">
        <v>138.76900000000001</v>
      </c>
      <c r="C261" s="67">
        <f t="shared" si="237"/>
        <v>138.35269300000002</v>
      </c>
      <c r="D261" s="67">
        <f t="shared" si="238"/>
        <v>139.18530699999999</v>
      </c>
      <c r="E261" s="81">
        <f>6021.954/4893.543*100</f>
        <v>123.0591822734571</v>
      </c>
      <c r="F261" s="31">
        <v>437474.62</v>
      </c>
      <c r="G261" s="81">
        <v>62.03</v>
      </c>
      <c r="H261" s="90"/>
      <c r="I261" s="14"/>
      <c r="J261" s="14"/>
    </row>
    <row r="262" spans="1:10" s="15" customFormat="1" ht="16.5" customHeight="1">
      <c r="A262" s="79">
        <v>42270</v>
      </c>
      <c r="B262" s="71">
        <v>140.40199999999999</v>
      </c>
      <c r="C262" s="67">
        <f t="shared" si="237"/>
        <v>139.98079399999997</v>
      </c>
      <c r="D262" s="67">
        <f t="shared" si="238"/>
        <v>140.82320599999997</v>
      </c>
      <c r="E262" s="81">
        <f>6071.716/4893.543*100</f>
        <v>124.07607330721322</v>
      </c>
      <c r="F262" s="31">
        <v>451474.62</v>
      </c>
      <c r="G262" s="81">
        <v>64.72</v>
      </c>
      <c r="H262" s="90"/>
      <c r="I262" s="14"/>
      <c r="J262" s="14"/>
    </row>
    <row r="263" spans="1:10" s="15" customFormat="1" ht="16.5" customHeight="1">
      <c r="A263" s="79">
        <v>42263</v>
      </c>
      <c r="B263" s="71">
        <v>143.30009999999999</v>
      </c>
      <c r="C263" s="67">
        <f t="shared" ref="C263:C269" si="239">0.997*B263</f>
        <v>142.87019969999997</v>
      </c>
      <c r="D263" s="67">
        <f t="shared" si="238"/>
        <v>143.73000029999997</v>
      </c>
      <c r="E263" s="81">
        <f>6287.373/4893.543*100</f>
        <v>128.48304388047677</v>
      </c>
      <c r="F263" s="31">
        <v>451474</v>
      </c>
      <c r="G263" s="81">
        <v>65.67</v>
      </c>
      <c r="H263" s="90"/>
      <c r="I263" s="14"/>
      <c r="J263" s="14"/>
    </row>
    <row r="264" spans="1:10" s="15" customFormat="1" ht="16.5" customHeight="1">
      <c r="A264" s="79">
        <v>42256</v>
      </c>
      <c r="B264" s="71">
        <v>142.2542</v>
      </c>
      <c r="C264" s="67">
        <f t="shared" si="239"/>
        <v>141.82743740000001</v>
      </c>
      <c r="D264" s="67">
        <f t="shared" si="238"/>
        <v>142.68096259999999</v>
      </c>
      <c r="E264" s="81">
        <f>6187.37/4893.543*100</f>
        <v>126.43947340403467</v>
      </c>
      <c r="F264" s="31">
        <v>452204.62</v>
      </c>
      <c r="G264" s="81">
        <v>65.67</v>
      </c>
      <c r="H264" s="90"/>
      <c r="I264" s="14"/>
      <c r="J264" s="14"/>
    </row>
    <row r="265" spans="1:10" s="15" customFormat="1" ht="16.5" customHeight="1">
      <c r="A265" s="79">
        <v>42249</v>
      </c>
      <c r="B265" s="71">
        <v>140.43</v>
      </c>
      <c r="C265" s="67">
        <f t="shared" si="239"/>
        <v>140.00871000000001</v>
      </c>
      <c r="D265" s="67">
        <f t="shared" ref="D265:D270" si="240">1.003*B265</f>
        <v>140.85128999999998</v>
      </c>
      <c r="E265" s="81">
        <f>6137.652/4893.543*100</f>
        <v>125.42348151431386</v>
      </c>
      <c r="F265" s="31">
        <v>451960.56</v>
      </c>
      <c r="G265" s="81">
        <v>64.790000000000006</v>
      </c>
      <c r="H265" s="90"/>
      <c r="I265" s="14"/>
      <c r="J265" s="14"/>
    </row>
    <row r="266" spans="1:10" s="15" customFormat="1" ht="16.5" customHeight="1">
      <c r="A266" s="79">
        <v>42242</v>
      </c>
      <c r="B266" s="71">
        <v>139.18770000000001</v>
      </c>
      <c r="C266" s="67">
        <f t="shared" si="239"/>
        <v>138.77013690000001</v>
      </c>
      <c r="D266" s="67">
        <f t="shared" si="240"/>
        <v>139.6052631</v>
      </c>
      <c r="E266" s="81">
        <f>6138.056/4893.543*100</f>
        <v>125.43173729136538</v>
      </c>
      <c r="F266" s="31">
        <v>459066.73</v>
      </c>
      <c r="G266" s="81">
        <v>65.209999999999994</v>
      </c>
      <c r="H266" s="90"/>
      <c r="I266" s="14"/>
      <c r="J266" s="14"/>
    </row>
    <row r="267" spans="1:10" s="15" customFormat="1" ht="16.5" customHeight="1">
      <c r="A267" s="79">
        <v>42235</v>
      </c>
      <c r="B267" s="71">
        <v>148.49809999999999</v>
      </c>
      <c r="C267" s="67">
        <f t="shared" si="239"/>
        <v>148.05260569999999</v>
      </c>
      <c r="D267" s="67">
        <f t="shared" si="240"/>
        <v>148.94359429999997</v>
      </c>
      <c r="E267" s="81">
        <f>6551.507/4893.543*100</f>
        <v>133.88064639464699</v>
      </c>
      <c r="F267" s="31">
        <v>459066.73</v>
      </c>
      <c r="G267" s="81">
        <v>69.56</v>
      </c>
      <c r="H267" s="90"/>
      <c r="I267" s="14"/>
      <c r="J267" s="14"/>
    </row>
    <row r="268" spans="1:10" s="15" customFormat="1" ht="16.5" customHeight="1">
      <c r="A268" s="79">
        <v>42228</v>
      </c>
      <c r="B268" s="71">
        <v>150.89398600000001</v>
      </c>
      <c r="C268" s="67">
        <f t="shared" si="239"/>
        <v>150.44130404200001</v>
      </c>
      <c r="D268" s="67">
        <f t="shared" si="240"/>
        <v>151.34666795799998</v>
      </c>
      <c r="E268" s="81">
        <f>6607.771/4893.543*100</f>
        <v>135.03040639471237</v>
      </c>
      <c r="F268" s="31">
        <v>459066</v>
      </c>
      <c r="G268" s="81">
        <v>70.686000000000007</v>
      </c>
      <c r="H268" s="90"/>
      <c r="I268" s="14"/>
      <c r="J268" s="14"/>
    </row>
    <row r="269" spans="1:10" s="15" customFormat="1" ht="16.5" customHeight="1">
      <c r="A269" s="79">
        <v>42221</v>
      </c>
      <c r="B269" s="71">
        <v>150.06780000000001</v>
      </c>
      <c r="C269" s="67">
        <f t="shared" si="239"/>
        <v>149.61759660000001</v>
      </c>
      <c r="D269" s="67">
        <f t="shared" si="240"/>
        <v>150.5180034</v>
      </c>
      <c r="E269" s="81">
        <f>6680.521/4893.543*100</f>
        <v>136.51705931673638</v>
      </c>
      <c r="F269" s="31">
        <v>459166.73</v>
      </c>
      <c r="G269" s="81">
        <v>70.3</v>
      </c>
      <c r="H269" s="90"/>
      <c r="I269" s="14"/>
      <c r="J269" s="14"/>
    </row>
    <row r="270" spans="1:10" s="15" customFormat="1" ht="16.5" customHeight="1">
      <c r="A270" s="79">
        <v>42214</v>
      </c>
      <c r="B270" s="71">
        <v>149.4573</v>
      </c>
      <c r="C270" s="67">
        <f t="shared" ref="C270:C276" si="241">0.997*B270</f>
        <v>149.00892809999999</v>
      </c>
      <c r="D270" s="67">
        <f t="shared" si="240"/>
        <v>149.90567189999999</v>
      </c>
      <c r="E270" s="81">
        <f>6670.325/4893.543*100</f>
        <v>136.30870312164419</v>
      </c>
      <c r="F270" s="31">
        <v>468159.13</v>
      </c>
      <c r="G270" s="81">
        <v>71.5</v>
      </c>
      <c r="H270" s="90"/>
      <c r="I270" s="14"/>
      <c r="J270" s="14"/>
    </row>
    <row r="271" spans="1:10" s="15" customFormat="1" ht="16.5" customHeight="1">
      <c r="A271" s="79">
        <v>42207</v>
      </c>
      <c r="B271" s="71">
        <v>151.77449999999999</v>
      </c>
      <c r="C271" s="67">
        <f t="shared" si="241"/>
        <v>151.3191765</v>
      </c>
      <c r="D271" s="67">
        <f t="shared" ref="D271:D276" si="242">1.003*B271</f>
        <v>152.22982349999998</v>
      </c>
      <c r="E271" s="81">
        <f>6691.3/4893.543*100</f>
        <v>136.73732917029645</v>
      </c>
      <c r="F271" s="31">
        <v>467306.72</v>
      </c>
      <c r="G271" s="81">
        <v>72.47</v>
      </c>
      <c r="H271" s="90"/>
      <c r="I271" s="14"/>
      <c r="J271" s="14"/>
    </row>
    <row r="272" spans="1:10" s="15" customFormat="1" ht="16.5" customHeight="1">
      <c r="A272" s="79">
        <v>42200</v>
      </c>
      <c r="B272" s="71">
        <v>153.65770000000001</v>
      </c>
      <c r="C272" s="67">
        <f t="shared" si="241"/>
        <v>153.19672690000002</v>
      </c>
      <c r="D272" s="67">
        <f t="shared" si="242"/>
        <v>154.1186731</v>
      </c>
      <c r="E272" s="81">
        <f>6696.156/4893.543*100</f>
        <v>136.83656197564832</v>
      </c>
      <c r="F272" s="31">
        <v>467306.72</v>
      </c>
      <c r="G272" s="81">
        <v>73.37</v>
      </c>
      <c r="H272" s="90"/>
      <c r="I272" s="14"/>
      <c r="J272" s="14"/>
    </row>
    <row r="273" spans="1:10" s="15" customFormat="1" ht="16.5" customHeight="1">
      <c r="A273" s="79">
        <v>42193</v>
      </c>
      <c r="B273" s="71">
        <v>149.26830000000001</v>
      </c>
      <c r="C273" s="67">
        <f t="shared" si="241"/>
        <v>148.82049510000002</v>
      </c>
      <c r="D273" s="67">
        <f t="shared" si="242"/>
        <v>149.7161049</v>
      </c>
      <c r="E273" s="81">
        <f>6463.648/4893.543*100</f>
        <v>132.0852396719514</v>
      </c>
      <c r="F273" s="31">
        <v>467306.72</v>
      </c>
      <c r="G273" s="81">
        <v>71.27</v>
      </c>
      <c r="H273" s="90"/>
      <c r="I273" s="14"/>
      <c r="J273" s="14"/>
    </row>
    <row r="274" spans="1:10" s="15" customFormat="1" ht="16.5" customHeight="1">
      <c r="A274" s="79">
        <v>42186</v>
      </c>
      <c r="B274" s="71">
        <v>154.8793</v>
      </c>
      <c r="C274" s="67">
        <f t="shared" si="241"/>
        <v>154.41466209999999</v>
      </c>
      <c r="D274" s="67">
        <f t="shared" si="242"/>
        <v>155.34393789999999</v>
      </c>
      <c r="E274" s="81">
        <f>6614.236/4893.543*100</f>
        <v>135.16251926262834</v>
      </c>
      <c r="F274" s="31">
        <v>467306.72</v>
      </c>
      <c r="G274" s="81">
        <v>73.94</v>
      </c>
      <c r="H274" s="90"/>
      <c r="I274" s="14"/>
      <c r="J274" s="14"/>
    </row>
    <row r="275" spans="1:10" s="15" customFormat="1" ht="16.5" customHeight="1">
      <c r="A275" s="79">
        <v>42179</v>
      </c>
      <c r="B275" s="71">
        <v>157.76929999999999</v>
      </c>
      <c r="C275" s="67">
        <f t="shared" si="241"/>
        <v>157.29599209999998</v>
      </c>
      <c r="D275" s="67">
        <f t="shared" si="242"/>
        <v>158.24260789999997</v>
      </c>
      <c r="E275" s="81">
        <f>6756.01/4893.543*100</f>
        <v>138.05968395495862</v>
      </c>
      <c r="F275" s="31">
        <v>490572.16</v>
      </c>
      <c r="G275" s="81">
        <v>79.22</v>
      </c>
      <c r="H275" s="90"/>
      <c r="I275" s="14"/>
      <c r="J275" s="14"/>
    </row>
    <row r="276" spans="1:10" s="15" customFormat="1" ht="16.5" customHeight="1">
      <c r="A276" s="79">
        <v>42172</v>
      </c>
      <c r="B276" s="71">
        <v>154.34020000000001</v>
      </c>
      <c r="C276" s="67">
        <f t="shared" si="241"/>
        <v>153.87717940000002</v>
      </c>
      <c r="D276" s="67">
        <f t="shared" si="242"/>
        <v>154.8032206</v>
      </c>
      <c r="E276" s="81">
        <f>6665.063/4893.543*100</f>
        <v>136.20117366905737</v>
      </c>
      <c r="F276" s="31">
        <v>756829.5</v>
      </c>
      <c r="G276" s="81">
        <v>118.77</v>
      </c>
      <c r="H276" s="90"/>
      <c r="I276" s="14"/>
      <c r="J276" s="14"/>
    </row>
    <row r="277" spans="1:10" s="15" customFormat="1" ht="16.5" customHeight="1">
      <c r="A277" s="79">
        <v>42165</v>
      </c>
      <c r="B277" s="71">
        <v>155.74160000000001</v>
      </c>
      <c r="C277" s="67">
        <f t="shared" ref="C277:C283" si="243">0.997*B277</f>
        <v>155.27437520000001</v>
      </c>
      <c r="D277" s="67">
        <f t="shared" ref="D277:D282" si="244">1.003*B277</f>
        <v>156.2088248</v>
      </c>
      <c r="E277" s="81">
        <f>6717.787/4893.543*100</f>
        <v>137.27859344446347</v>
      </c>
      <c r="F277" s="31">
        <v>756235.4</v>
      </c>
      <c r="G277" s="81">
        <v>119.85</v>
      </c>
      <c r="H277" s="90"/>
      <c r="I277" s="14"/>
      <c r="J277" s="14"/>
    </row>
    <row r="278" spans="1:10" s="15" customFormat="1" ht="16.5" customHeight="1">
      <c r="A278" s="79">
        <v>42158</v>
      </c>
      <c r="B278" s="71">
        <v>157.75069999999999</v>
      </c>
      <c r="C278" s="67">
        <f t="shared" si="243"/>
        <v>157.2774479</v>
      </c>
      <c r="D278" s="67">
        <f t="shared" si="244"/>
        <v>158.22395209999999</v>
      </c>
      <c r="E278" s="81">
        <f>6765.057/4893.543*100</f>
        <v>138.24456022967408</v>
      </c>
      <c r="F278" s="31">
        <v>756778.2</v>
      </c>
      <c r="G278" s="81">
        <v>121.47</v>
      </c>
      <c r="H278" s="90"/>
      <c r="I278" s="14"/>
      <c r="J278" s="14"/>
    </row>
    <row r="279" spans="1:10" s="15" customFormat="1" ht="16.5" customHeight="1">
      <c r="A279" s="79">
        <v>42151</v>
      </c>
      <c r="B279" s="71">
        <v>158.29830000000001</v>
      </c>
      <c r="C279" s="67">
        <f t="shared" si="243"/>
        <v>157.8234051</v>
      </c>
      <c r="D279" s="67">
        <f t="shared" si="244"/>
        <v>158.77319489999999</v>
      </c>
      <c r="E279" s="81">
        <f>6775.384/4893.543*100</f>
        <v>138.45559342178052</v>
      </c>
      <c r="F279" s="31">
        <v>755808.26</v>
      </c>
      <c r="G279" s="81">
        <v>121.73</v>
      </c>
      <c r="H279" s="90"/>
      <c r="I279" s="14"/>
      <c r="J279" s="14"/>
    </row>
    <row r="280" spans="1:10" s="15" customFormat="1" ht="16.5" customHeight="1">
      <c r="A280" s="79">
        <v>42144</v>
      </c>
      <c r="B280" s="71">
        <v>159.57239999999999</v>
      </c>
      <c r="C280" s="67">
        <f t="shared" si="243"/>
        <v>159.09368279999998</v>
      </c>
      <c r="D280" s="67">
        <f t="shared" si="244"/>
        <v>160.05111719999996</v>
      </c>
      <c r="E280" s="81">
        <f>6811.012/4893.543*100</f>
        <v>139.18365486928388</v>
      </c>
      <c r="F280" s="31">
        <v>755808.26</v>
      </c>
      <c r="G280" s="81">
        <v>122.71</v>
      </c>
      <c r="H280" s="90"/>
      <c r="I280" s="14"/>
      <c r="J280" s="14"/>
    </row>
    <row r="281" spans="1:10" s="15" customFormat="1" ht="16.5" customHeight="1">
      <c r="A281" s="79">
        <v>42137</v>
      </c>
      <c r="B281" s="71">
        <v>159.0059</v>
      </c>
      <c r="C281" s="67">
        <f t="shared" si="243"/>
        <v>158.52888229999999</v>
      </c>
      <c r="D281" s="67">
        <f t="shared" si="244"/>
        <v>159.48291769999997</v>
      </c>
      <c r="E281" s="81">
        <f>6751.637/4893.543*100</f>
        <v>137.97032129890349</v>
      </c>
      <c r="F281" s="31">
        <v>755212.65</v>
      </c>
      <c r="G281" s="81">
        <v>122.17</v>
      </c>
      <c r="H281" s="90"/>
      <c r="I281" s="14"/>
      <c r="J281" s="14"/>
    </row>
    <row r="282" spans="1:10" s="15" customFormat="1" ht="16.5" customHeight="1">
      <c r="A282" s="79">
        <v>42130</v>
      </c>
      <c r="B282" s="71">
        <v>158.28039999999999</v>
      </c>
      <c r="C282" s="67">
        <f t="shared" si="243"/>
        <v>157.80555879999997</v>
      </c>
      <c r="D282" s="67">
        <f t="shared" si="244"/>
        <v>158.75524119999997</v>
      </c>
      <c r="E282" s="81">
        <f>6677.716/4893.543*100</f>
        <v>136.45973888448515</v>
      </c>
      <c r="F282" s="31">
        <v>755212.65</v>
      </c>
      <c r="G282" s="81">
        <v>121.6</v>
      </c>
      <c r="H282" s="90"/>
      <c r="I282" s="14"/>
      <c r="J282" s="14"/>
    </row>
    <row r="283" spans="1:10" s="15" customFormat="1" ht="16.5" customHeight="1">
      <c r="A283" s="79">
        <v>42123</v>
      </c>
      <c r="B283" s="71">
        <v>160.512</v>
      </c>
      <c r="C283" s="67">
        <f t="shared" si="243"/>
        <v>160.03046399999999</v>
      </c>
      <c r="D283" s="67">
        <f t="shared" ref="D283:D288" si="245">1.003*B283</f>
        <v>160.99353599999998</v>
      </c>
      <c r="E283" s="81">
        <f>6758.304/4893.543*100</f>
        <v>138.10656205534519</v>
      </c>
      <c r="F283" s="31">
        <v>755212</v>
      </c>
      <c r="G283" s="81">
        <v>123.3</v>
      </c>
      <c r="H283" s="90"/>
      <c r="I283" s="14"/>
      <c r="J283" s="14"/>
    </row>
    <row r="284" spans="1:10" s="15" customFormat="1" ht="16.5" customHeight="1">
      <c r="A284" s="79">
        <v>42116</v>
      </c>
      <c r="B284" s="71">
        <v>159.61930000000001</v>
      </c>
      <c r="C284" s="67">
        <f t="shared" ref="C284:C290" si="246">0.997*B284</f>
        <v>159.1404421</v>
      </c>
      <c r="D284" s="67">
        <f t="shared" si="245"/>
        <v>160.09815789999999</v>
      </c>
      <c r="E284" s="81">
        <f>6719.724/4893.543*100</f>
        <v>137.31817621710894</v>
      </c>
      <c r="F284" s="31">
        <v>755212.65</v>
      </c>
      <c r="G284" s="81">
        <v>122.62</v>
      </c>
      <c r="H284" s="90"/>
      <c r="I284" s="14"/>
      <c r="J284" s="14"/>
    </row>
    <row r="285" spans="1:10" s="15" customFormat="1" ht="16.5" customHeight="1">
      <c r="A285" s="79">
        <v>42109</v>
      </c>
      <c r="B285" s="71">
        <v>159.96629999999999</v>
      </c>
      <c r="C285" s="67">
        <f t="shared" si="246"/>
        <v>159.48640109999999</v>
      </c>
      <c r="D285" s="67">
        <f t="shared" si="245"/>
        <v>160.44619889999998</v>
      </c>
      <c r="E285" s="81">
        <f>6704.771/4893.543*100</f>
        <v>137.01261029074436</v>
      </c>
      <c r="F285" s="31">
        <v>755212.65</v>
      </c>
      <c r="G285" s="81">
        <v>122.88</v>
      </c>
      <c r="H285" s="90"/>
      <c r="I285" s="14"/>
      <c r="J285" s="14"/>
    </row>
    <row r="286" spans="1:10" s="15" customFormat="1" ht="16.5" customHeight="1">
      <c r="A286" s="79">
        <v>42102</v>
      </c>
      <c r="B286" s="71">
        <v>157.83510000000001</v>
      </c>
      <c r="C286" s="67">
        <f t="shared" si="246"/>
        <v>157.36159470000001</v>
      </c>
      <c r="D286" s="67">
        <f t="shared" si="245"/>
        <v>158.30860529999998</v>
      </c>
      <c r="E286" s="81">
        <f>6638.039/4893.543*100</f>
        <v>135.64893575064121</v>
      </c>
      <c r="F286" s="31">
        <v>755212.65</v>
      </c>
      <c r="G286" s="81">
        <v>121.24</v>
      </c>
      <c r="H286" s="90"/>
      <c r="I286" s="14"/>
      <c r="J286" s="14"/>
    </row>
    <row r="287" spans="1:10" s="15" customFormat="1" ht="16.5" customHeight="1">
      <c r="A287" s="79">
        <v>42095</v>
      </c>
      <c r="B287" s="71">
        <v>153.66720000000001</v>
      </c>
      <c r="C287" s="67">
        <f t="shared" si="246"/>
        <v>153.20619840000001</v>
      </c>
      <c r="D287" s="67">
        <f t="shared" si="245"/>
        <v>154.12820159999998</v>
      </c>
      <c r="E287" s="81">
        <f>6528.19/4893.543*100</f>
        <v>133.40416136120598</v>
      </c>
      <c r="F287" s="31">
        <v>759702</v>
      </c>
      <c r="G287" s="81">
        <v>118.72</v>
      </c>
      <c r="H287" s="90"/>
      <c r="I287" s="14"/>
      <c r="J287" s="14"/>
    </row>
    <row r="288" spans="1:10" s="15" customFormat="1" ht="16.5" customHeight="1">
      <c r="A288" s="79">
        <v>42088</v>
      </c>
      <c r="B288" s="71">
        <v>155.19210000000001</v>
      </c>
      <c r="C288" s="67">
        <f t="shared" si="246"/>
        <v>154.7265237</v>
      </c>
      <c r="D288" s="67">
        <f t="shared" si="245"/>
        <v>155.65767629999999</v>
      </c>
      <c r="E288" s="81">
        <f>6588.967/4893.543*100</f>
        <v>134.64614493016614</v>
      </c>
      <c r="F288" s="31">
        <v>759702</v>
      </c>
      <c r="G288" s="81">
        <v>119.89</v>
      </c>
      <c r="H288" s="90"/>
      <c r="I288" s="14"/>
      <c r="J288" s="14"/>
    </row>
    <row r="289" spans="1:10" s="15" customFormat="1" ht="16.5" customHeight="1">
      <c r="A289" s="79">
        <v>42081</v>
      </c>
      <c r="B289" s="71">
        <v>155.4374</v>
      </c>
      <c r="C289" s="67">
        <f t="shared" si="246"/>
        <v>154.97108779999999</v>
      </c>
      <c r="D289" s="67">
        <f t="shared" ref="D289:D294" si="247">1.003*B289</f>
        <v>155.90371219999997</v>
      </c>
      <c r="E289" s="81">
        <f>6577.233/4893.543*100</f>
        <v>134.40635956402141</v>
      </c>
      <c r="F289" s="31">
        <v>774933.97</v>
      </c>
      <c r="G289" s="81">
        <v>122.67</v>
      </c>
      <c r="H289" s="90"/>
      <c r="I289" s="14"/>
      <c r="J289" s="14"/>
    </row>
    <row r="290" spans="1:10" s="15" customFormat="1" ht="16.5" customHeight="1">
      <c r="A290" s="79">
        <v>42074</v>
      </c>
      <c r="B290" s="71">
        <v>152.61699999999999</v>
      </c>
      <c r="C290" s="67">
        <f t="shared" si="246"/>
        <v>152.15914899999999</v>
      </c>
      <c r="D290" s="67">
        <f t="shared" si="247"/>
        <v>153.07485099999997</v>
      </c>
      <c r="E290" s="81">
        <f>6412.375/4893.543*100</f>
        <v>131.03747121461896</v>
      </c>
      <c r="F290" s="31">
        <v>774933.97</v>
      </c>
      <c r="G290" s="81">
        <v>120.44</v>
      </c>
      <c r="H290" s="90"/>
      <c r="I290" s="14"/>
      <c r="J290" s="14"/>
    </row>
    <row r="291" spans="1:10" s="15" customFormat="1" ht="16.5" customHeight="1">
      <c r="A291" s="79">
        <v>42067</v>
      </c>
      <c r="B291" s="71">
        <v>156.52340000000001</v>
      </c>
      <c r="C291" s="67">
        <f t="shared" ref="C291:C297" si="248">0.997*B291</f>
        <v>156.05382980000002</v>
      </c>
      <c r="D291" s="67">
        <f t="shared" si="247"/>
        <v>156.9929702</v>
      </c>
      <c r="E291" s="81">
        <f>6595.118/4893.543*100</f>
        <v>134.77184117928465</v>
      </c>
      <c r="F291" s="31">
        <v>774248.94</v>
      </c>
      <c r="G291" s="81">
        <v>123.52</v>
      </c>
      <c r="H291" s="90"/>
      <c r="I291" s="14"/>
      <c r="J291" s="14"/>
    </row>
    <row r="292" spans="1:10" s="15" customFormat="1" ht="16.5" customHeight="1">
      <c r="A292" s="79">
        <v>42060</v>
      </c>
      <c r="B292" s="71">
        <v>156.03639999999999</v>
      </c>
      <c r="C292" s="67">
        <f t="shared" si="248"/>
        <v>155.5682908</v>
      </c>
      <c r="D292" s="67">
        <f t="shared" si="247"/>
        <v>156.50450919999997</v>
      </c>
      <c r="E292" s="81">
        <f>6651.198/4893.543*100</f>
        <v>135.9178411224751</v>
      </c>
      <c r="F292" s="31">
        <v>778288.43</v>
      </c>
      <c r="G292" s="81">
        <v>123.75</v>
      </c>
      <c r="H292" s="90"/>
      <c r="I292" s="14"/>
      <c r="J292" s="14"/>
    </row>
    <row r="293" spans="1:10" s="15" customFormat="1" ht="16.5" customHeight="1">
      <c r="A293" s="79">
        <v>42053</v>
      </c>
      <c r="B293" s="71">
        <v>154.9896</v>
      </c>
      <c r="C293" s="67">
        <f t="shared" si="248"/>
        <v>154.52463119999999</v>
      </c>
      <c r="D293" s="67">
        <f t="shared" si="247"/>
        <v>155.45456879999998</v>
      </c>
      <c r="E293" s="81">
        <f>6580.72/4893.543*100</f>
        <v>134.47761672882001</v>
      </c>
      <c r="F293" s="31">
        <v>778288.43</v>
      </c>
      <c r="G293" s="81">
        <v>122.92</v>
      </c>
      <c r="H293" s="90"/>
      <c r="I293" s="14"/>
      <c r="J293" s="14"/>
    </row>
    <row r="294" spans="1:10" s="15" customFormat="1" ht="16.5" customHeight="1">
      <c r="A294" s="79">
        <v>42046</v>
      </c>
      <c r="B294" s="71">
        <v>153.82939999999999</v>
      </c>
      <c r="C294" s="67">
        <f t="shared" si="248"/>
        <v>153.3679118</v>
      </c>
      <c r="D294" s="67">
        <f t="shared" si="247"/>
        <v>154.29088819999998</v>
      </c>
      <c r="E294" s="81">
        <f>6436.941/4893.543*100</f>
        <v>131.53947967760783</v>
      </c>
      <c r="F294" s="31">
        <v>782607.88</v>
      </c>
      <c r="G294" s="81">
        <v>122.65</v>
      </c>
      <c r="H294" s="90"/>
      <c r="I294" s="14"/>
      <c r="J294" s="14"/>
    </row>
    <row r="295" spans="1:10" s="15" customFormat="1" ht="16.5" customHeight="1">
      <c r="A295" s="84">
        <v>42039</v>
      </c>
      <c r="B295" s="85">
        <v>154.6489</v>
      </c>
      <c r="C295" s="82">
        <f t="shared" si="248"/>
        <v>154.18495329999999</v>
      </c>
      <c r="D295" s="82">
        <f t="shared" ref="D295:D300" si="249">1.003*B295</f>
        <v>155.11284669999998</v>
      </c>
      <c r="E295" s="80">
        <f>6408.666/4893.543*100</f>
        <v>130.96167745946036</v>
      </c>
      <c r="F295" s="86">
        <v>839825.32</v>
      </c>
      <c r="G295" s="80">
        <v>132.15</v>
      </c>
      <c r="H295" s="90"/>
      <c r="I295" s="14"/>
      <c r="J295" s="14"/>
    </row>
    <row r="296" spans="1:10" s="15" customFormat="1" ht="16.5" customHeight="1">
      <c r="A296" s="79">
        <v>42032</v>
      </c>
      <c r="B296" s="71">
        <v>153.42920000000001</v>
      </c>
      <c r="C296" s="67">
        <f t="shared" si="248"/>
        <v>152.96891240000002</v>
      </c>
      <c r="D296" s="67">
        <f t="shared" si="249"/>
        <v>153.8894876</v>
      </c>
      <c r="E296" s="81">
        <f>6310.014/4893.543*100</f>
        <v>128.94571479192072</v>
      </c>
      <c r="F296" s="31">
        <v>838251.57</v>
      </c>
      <c r="G296" s="37">
        <v>130.86000000000001</v>
      </c>
      <c r="H296" s="90"/>
      <c r="I296" s="14"/>
      <c r="J296" s="14"/>
    </row>
    <row r="297" spans="1:10" s="15" customFormat="1" ht="16.5" customHeight="1">
      <c r="A297" s="79">
        <v>42025</v>
      </c>
      <c r="B297" s="71">
        <v>153.11959999999999</v>
      </c>
      <c r="C297" s="67">
        <f t="shared" si="248"/>
        <v>152.6602412</v>
      </c>
      <c r="D297" s="67">
        <f t="shared" si="249"/>
        <v>153.57895879999998</v>
      </c>
      <c r="E297" s="81">
        <f>6327.811/4893.543*100</f>
        <v>129.3093981191133</v>
      </c>
      <c r="F297" s="31">
        <v>850068.12</v>
      </c>
      <c r="G297" s="81">
        <v>132.4</v>
      </c>
      <c r="H297" s="90"/>
      <c r="I297" s="14"/>
      <c r="J297" s="14"/>
    </row>
    <row r="298" spans="1:10" s="15" customFormat="1" ht="16.5" customHeight="1">
      <c r="A298" s="79">
        <v>42018</v>
      </c>
      <c r="B298" s="71">
        <v>148.27539999999999</v>
      </c>
      <c r="C298" s="67">
        <f t="shared" ref="C298:C303" si="250">0.997*B298</f>
        <v>147.8305738</v>
      </c>
      <c r="D298" s="67">
        <f t="shared" si="249"/>
        <v>148.72022619999998</v>
      </c>
      <c r="E298" s="81">
        <f>6218.626/4893.543*100</f>
        <v>127.07819263057462</v>
      </c>
      <c r="F298" s="31">
        <v>849958.52</v>
      </c>
      <c r="G298" s="81">
        <v>128.18</v>
      </c>
      <c r="H298" s="90"/>
      <c r="I298" s="14"/>
      <c r="J298" s="14"/>
    </row>
    <row r="299" spans="1:10" s="15" customFormat="1" ht="16.5" customHeight="1">
      <c r="A299" s="79">
        <v>42011</v>
      </c>
      <c r="B299" s="71">
        <v>148.24375000000001</v>
      </c>
      <c r="C299" s="67">
        <f t="shared" si="250"/>
        <v>147.79901875000002</v>
      </c>
      <c r="D299" s="67">
        <f t="shared" si="249"/>
        <v>148.68848125</v>
      </c>
      <c r="E299" s="81">
        <f>6206.094/4893.543*100</f>
        <v>126.82210006124397</v>
      </c>
      <c r="F299" s="31">
        <v>850643</v>
      </c>
      <c r="G299" s="81">
        <v>128.38</v>
      </c>
      <c r="H299" s="90"/>
      <c r="I299" s="14"/>
      <c r="J299" s="14"/>
    </row>
    <row r="300" spans="1:10" ht="16.5" customHeight="1">
      <c r="A300" s="79">
        <v>42004</v>
      </c>
      <c r="B300" s="71">
        <v>148.43989999999999</v>
      </c>
      <c r="C300" s="67">
        <f t="shared" si="250"/>
        <v>147.9945803</v>
      </c>
      <c r="D300" s="67">
        <f t="shared" si="249"/>
        <v>148.88521969999996</v>
      </c>
      <c r="E300" s="81">
        <f>6381.054/4893.543*100</f>
        <v>130.39742370711772</v>
      </c>
      <c r="F300" s="31">
        <v>850643</v>
      </c>
      <c r="G300" s="81">
        <v>128.32</v>
      </c>
      <c r="H300" s="91"/>
      <c r="I300" s="4"/>
      <c r="J300" s="4"/>
    </row>
    <row r="301" spans="1:10" ht="16.5" customHeight="1">
      <c r="A301" s="66">
        <v>41997</v>
      </c>
      <c r="B301" s="69">
        <v>148.612673</v>
      </c>
      <c r="C301" s="82">
        <f t="shared" si="250"/>
        <v>148.16683498099999</v>
      </c>
      <c r="D301" s="82">
        <f t="shared" ref="D301:D306" si="251">1.003*B301</f>
        <v>149.05851101899998</v>
      </c>
      <c r="E301" s="80">
        <f>6440.3/4893.543*100</f>
        <v>131.60812115066733</v>
      </c>
      <c r="F301" s="59">
        <v>848617</v>
      </c>
      <c r="G301" s="78">
        <v>128.26</v>
      </c>
      <c r="H301" s="91"/>
      <c r="I301" s="4"/>
      <c r="J301" s="4"/>
    </row>
    <row r="302" spans="1:10" ht="16.5" customHeight="1">
      <c r="A302" s="79">
        <v>41990</v>
      </c>
      <c r="B302" s="71">
        <v>144.22739999999999</v>
      </c>
      <c r="C302" s="67">
        <f t="shared" si="250"/>
        <v>143.7947178</v>
      </c>
      <c r="D302" s="67">
        <f t="shared" si="251"/>
        <v>144.66008219999998</v>
      </c>
      <c r="E302" s="81">
        <f>6238.131/4893.543*100</f>
        <v>127.47677909441076</v>
      </c>
      <c r="F302" s="31">
        <v>848616.76</v>
      </c>
      <c r="G302" s="81">
        <v>124.46</v>
      </c>
      <c r="H302" s="91"/>
      <c r="I302" s="4"/>
      <c r="J302" s="4"/>
    </row>
    <row r="303" spans="1:10" s="15" customFormat="1" ht="16.5" customHeight="1">
      <c r="A303" s="79">
        <v>41983</v>
      </c>
      <c r="B303" s="71">
        <v>148.24549999999999</v>
      </c>
      <c r="C303" s="67">
        <f t="shared" si="250"/>
        <v>147.80076349999999</v>
      </c>
      <c r="D303" s="67">
        <f t="shared" si="251"/>
        <v>148.69023649999997</v>
      </c>
      <c r="E303" s="81">
        <f>6332.732/4893.543*100</f>
        <v>129.40995920542642</v>
      </c>
      <c r="F303" s="31">
        <v>862618.67</v>
      </c>
      <c r="G303" s="81">
        <v>132.57</v>
      </c>
      <c r="H303" s="90"/>
      <c r="I303" s="14"/>
      <c r="J303" s="14"/>
    </row>
    <row r="304" spans="1:10" s="15" customFormat="1" ht="16.5" customHeight="1">
      <c r="A304" s="79">
        <v>41976</v>
      </c>
      <c r="B304" s="71">
        <v>150.75200000000001</v>
      </c>
      <c r="C304" s="67">
        <f t="shared" ref="C304:C310" si="252">0.997*B304</f>
        <v>150.299744</v>
      </c>
      <c r="D304" s="67">
        <f t="shared" si="251"/>
        <v>151.20425599999999</v>
      </c>
      <c r="E304" s="81">
        <f>6514.333/4893.543*100</f>
        <v>133.12099229535735</v>
      </c>
      <c r="F304" s="31">
        <v>864225.82</v>
      </c>
      <c r="G304" s="81">
        <v>132.57</v>
      </c>
      <c r="H304" s="90"/>
      <c r="I304" s="14"/>
      <c r="J304" s="14"/>
    </row>
    <row r="305" spans="1:10" s="15" customFormat="1" ht="16.5" customHeight="1">
      <c r="A305" s="79">
        <v>41969</v>
      </c>
      <c r="B305" s="71">
        <v>151.14750000000001</v>
      </c>
      <c r="C305" s="67">
        <f t="shared" si="252"/>
        <v>150.69405750000001</v>
      </c>
      <c r="D305" s="67">
        <f t="shared" si="251"/>
        <v>151.6009425</v>
      </c>
      <c r="E305" s="81">
        <f>6514.333/4893.543*100</f>
        <v>133.12099229535735</v>
      </c>
      <c r="F305" s="31">
        <v>873946.56</v>
      </c>
      <c r="G305" s="81">
        <v>134.4</v>
      </c>
      <c r="H305" s="90"/>
      <c r="I305" s="14"/>
      <c r="J305" s="14"/>
    </row>
    <row r="306" spans="1:10" s="15" customFormat="1" ht="16.5" customHeight="1">
      <c r="A306" s="79">
        <v>41962</v>
      </c>
      <c r="B306" s="71">
        <v>147.88929999999999</v>
      </c>
      <c r="C306" s="67">
        <f t="shared" si="252"/>
        <v>147.44563209999998</v>
      </c>
      <c r="D306" s="67">
        <f t="shared" si="251"/>
        <v>148.33296789999997</v>
      </c>
      <c r="E306" s="81">
        <f>6424.626/4893.543*100</f>
        <v>131.28782152317862</v>
      </c>
      <c r="F306" s="31">
        <v>875996.54</v>
      </c>
      <c r="G306" s="81">
        <v>131.80000000000001</v>
      </c>
      <c r="H306" s="90"/>
      <c r="I306" s="14"/>
      <c r="J306" s="14"/>
    </row>
    <row r="307" spans="1:10" ht="17.25" customHeight="1">
      <c r="A307" s="79">
        <v>41955</v>
      </c>
      <c r="B307" s="71">
        <v>146.38290000000001</v>
      </c>
      <c r="C307" s="67">
        <f t="shared" si="252"/>
        <v>145.9437513</v>
      </c>
      <c r="D307" s="67">
        <f t="shared" ref="D307:D312" si="253">1.003*B307</f>
        <v>146.82204869999998</v>
      </c>
      <c r="E307" s="81">
        <f>6385.575/4893.543*100</f>
        <v>130.48981075674618</v>
      </c>
      <c r="F307" s="31">
        <v>875996.54</v>
      </c>
      <c r="G307" s="81">
        <v>130.44999999999999</v>
      </c>
      <c r="H307" s="91"/>
      <c r="I307" s="4"/>
      <c r="J307" s="4"/>
    </row>
    <row r="308" spans="1:10" s="15" customFormat="1" ht="17.25" customHeight="1">
      <c r="A308" s="79">
        <v>41948</v>
      </c>
      <c r="B308" s="71">
        <v>144.1336</v>
      </c>
      <c r="C308" s="67">
        <f t="shared" si="252"/>
        <v>143.70119919999999</v>
      </c>
      <c r="D308" s="67">
        <f t="shared" si="253"/>
        <v>144.56600079999998</v>
      </c>
      <c r="E308" s="81">
        <f>6348.179/4893.543*100</f>
        <v>129.72562006709657</v>
      </c>
      <c r="F308" s="31">
        <v>875996.54</v>
      </c>
      <c r="G308" s="81">
        <v>128.44</v>
      </c>
      <c r="H308" s="90"/>
      <c r="I308" s="14"/>
      <c r="J308" s="14"/>
    </row>
    <row r="309" spans="1:10" s="15" customFormat="1" ht="17.25" customHeight="1">
      <c r="A309" s="79">
        <v>41941</v>
      </c>
      <c r="B309" s="71">
        <v>145.4092</v>
      </c>
      <c r="C309" s="67">
        <f t="shared" si="252"/>
        <v>144.9729724</v>
      </c>
      <c r="D309" s="67">
        <f t="shared" si="253"/>
        <v>145.84542759999999</v>
      </c>
      <c r="E309" s="81">
        <f>6271.31/4893.543*100</f>
        <v>128.15479500231223</v>
      </c>
      <c r="F309" s="31">
        <v>878507.56</v>
      </c>
      <c r="G309" s="81">
        <v>129.93</v>
      </c>
      <c r="H309" s="90"/>
      <c r="I309" s="14"/>
      <c r="J309" s="14"/>
    </row>
    <row r="310" spans="1:10" s="15" customFormat="1" ht="17.25" customHeight="1">
      <c r="A310" s="79">
        <v>41934</v>
      </c>
      <c r="B310" s="71">
        <v>144.5017</v>
      </c>
      <c r="C310" s="67">
        <f t="shared" si="252"/>
        <v>144.06819490000001</v>
      </c>
      <c r="D310" s="67">
        <f t="shared" si="253"/>
        <v>144.93520509999999</v>
      </c>
      <c r="E310" s="81">
        <f>6124.32/4893.543*100</f>
        <v>125.15104087161389</v>
      </c>
      <c r="F310" s="31">
        <v>878507.56</v>
      </c>
      <c r="G310" s="81">
        <v>129.11000000000001</v>
      </c>
      <c r="H310" s="90"/>
      <c r="I310" s="14"/>
      <c r="J310" s="14"/>
    </row>
    <row r="311" spans="1:10" s="15" customFormat="1" ht="17.25" customHeight="1">
      <c r="A311" s="79">
        <v>41927</v>
      </c>
      <c r="B311" s="71">
        <v>144.08949999999999</v>
      </c>
      <c r="C311" s="67">
        <f t="shared" ref="C311:C317" si="254">0.997*B311</f>
        <v>143.65723149999999</v>
      </c>
      <c r="D311" s="67">
        <f t="shared" si="253"/>
        <v>144.52176849999998</v>
      </c>
      <c r="E311" s="81">
        <f>5930.303/4893.543*100</f>
        <v>121.18628568299084</v>
      </c>
      <c r="F311" s="31">
        <v>878507.56</v>
      </c>
      <c r="G311" s="81">
        <v>128.74</v>
      </c>
      <c r="H311" s="90"/>
      <c r="I311" s="14"/>
      <c r="J311" s="14"/>
    </row>
    <row r="312" spans="1:10" s="15" customFormat="1" ht="17.25" customHeight="1">
      <c r="A312" s="79">
        <v>41920</v>
      </c>
      <c r="B312" s="71">
        <v>149.39169999999999</v>
      </c>
      <c r="C312" s="67">
        <f t="shared" si="254"/>
        <v>148.94352489999997</v>
      </c>
      <c r="D312" s="67">
        <f t="shared" si="253"/>
        <v>149.83987509999997</v>
      </c>
      <c r="E312" s="81">
        <f>6219.977/4893.543*100</f>
        <v>127.10580043947708</v>
      </c>
      <c r="F312" s="31">
        <v>878507.56</v>
      </c>
      <c r="G312" s="81">
        <v>133.47</v>
      </c>
      <c r="H312" s="90"/>
      <c r="I312" s="14"/>
      <c r="J312" s="14"/>
    </row>
    <row r="313" spans="1:10" s="15" customFormat="1" ht="17.25" customHeight="1">
      <c r="A313" s="79">
        <v>41913</v>
      </c>
      <c r="B313" s="71">
        <v>151.3527</v>
      </c>
      <c r="C313" s="67">
        <f t="shared" si="254"/>
        <v>150.8986419</v>
      </c>
      <c r="D313" s="67">
        <f t="shared" ref="D313:D318" si="255">1.003*B313</f>
        <v>151.8067581</v>
      </c>
      <c r="E313" s="81">
        <f>6239.373/4893.543*100</f>
        <v>127.50215947831663</v>
      </c>
      <c r="F313" s="31">
        <v>878212.45</v>
      </c>
      <c r="G313" s="81">
        <v>135.16</v>
      </c>
      <c r="H313" s="90"/>
      <c r="I313" s="14"/>
      <c r="J313" s="14"/>
    </row>
    <row r="314" spans="1:10" s="15" customFormat="1" ht="17.25" customHeight="1">
      <c r="A314" s="79">
        <v>41906</v>
      </c>
      <c r="B314" s="71">
        <v>154.5626</v>
      </c>
      <c r="C314" s="67">
        <f t="shared" si="254"/>
        <v>154.0989122</v>
      </c>
      <c r="D314" s="67">
        <f t="shared" si="255"/>
        <v>155.02628779999998</v>
      </c>
      <c r="E314" s="81">
        <f>6398.668/4893.543*100</f>
        <v>130.75736741252709</v>
      </c>
      <c r="F314" s="31">
        <v>878212.45</v>
      </c>
      <c r="G314" s="81">
        <v>138.02000000000001</v>
      </c>
      <c r="H314" s="90"/>
      <c r="I314" s="14"/>
      <c r="J314" s="14"/>
    </row>
    <row r="315" spans="1:10" s="15" customFormat="1" ht="17.25" customHeight="1">
      <c r="A315" s="79">
        <v>41899</v>
      </c>
      <c r="B315" s="71">
        <v>155.66730000000001</v>
      </c>
      <c r="C315" s="67">
        <f t="shared" si="254"/>
        <v>155.2002981</v>
      </c>
      <c r="D315" s="67">
        <f t="shared" si="255"/>
        <v>156.1343019</v>
      </c>
      <c r="E315" s="81">
        <f>6439.896/4893.543*100</f>
        <v>131.59986537361581</v>
      </c>
      <c r="F315" s="31">
        <v>877309.38</v>
      </c>
      <c r="G315" s="81">
        <v>138.86000000000001</v>
      </c>
      <c r="H315" s="90"/>
      <c r="I315" s="14"/>
      <c r="J315" s="14"/>
    </row>
    <row r="316" spans="1:10" s="15" customFormat="1" ht="17.25" customHeight="1">
      <c r="A316" s="79">
        <v>41892</v>
      </c>
      <c r="B316" s="71">
        <v>156.84379999999999</v>
      </c>
      <c r="C316" s="67">
        <f t="shared" si="254"/>
        <v>156.37326859999999</v>
      </c>
      <c r="D316" s="67">
        <f t="shared" si="255"/>
        <v>157.31433139999996</v>
      </c>
      <c r="E316" s="81">
        <f>6439.908/4893.543*100</f>
        <v>131.60011059471637</v>
      </c>
      <c r="F316" s="31">
        <v>876864.41</v>
      </c>
      <c r="G316" s="81">
        <v>139.83000000000001</v>
      </c>
      <c r="H316" s="90"/>
      <c r="I316" s="14"/>
      <c r="J316" s="14"/>
    </row>
    <row r="317" spans="1:10" s="15" customFormat="1" ht="17.25" customHeight="1">
      <c r="A317" s="79">
        <v>41885</v>
      </c>
      <c r="B317" s="71">
        <v>159.49549999999999</v>
      </c>
      <c r="C317" s="67">
        <f t="shared" si="254"/>
        <v>159.01701349999999</v>
      </c>
      <c r="D317" s="67">
        <f t="shared" si="255"/>
        <v>159.97398649999997</v>
      </c>
      <c r="E317" s="81">
        <f>6497.889/4893.543*100</f>
        <v>132.78495764725068</v>
      </c>
      <c r="F317" s="31">
        <v>882838.96</v>
      </c>
      <c r="G317" s="81">
        <v>143.13999999999999</v>
      </c>
      <c r="H317" s="90"/>
      <c r="I317" s="14"/>
      <c r="J317" s="14"/>
    </row>
    <row r="318" spans="1:10" s="15" customFormat="1" ht="17.25" customHeight="1">
      <c r="A318" s="79">
        <v>41878</v>
      </c>
      <c r="B318" s="71">
        <v>159.43209999999999</v>
      </c>
      <c r="C318" s="67">
        <f t="shared" ref="C318:C324" si="256">0.997*B318</f>
        <v>158.95380369999998</v>
      </c>
      <c r="D318" s="67">
        <f t="shared" si="255"/>
        <v>159.91039629999997</v>
      </c>
      <c r="E318" s="81">
        <f>6489.817/4893.543*100</f>
        <v>132.62000558695408</v>
      </c>
      <c r="F318" s="31">
        <v>882548.17</v>
      </c>
      <c r="G318" s="81">
        <v>143.03</v>
      </c>
      <c r="H318" s="90"/>
      <c r="I318" s="14"/>
      <c r="J318" s="14"/>
    </row>
    <row r="319" spans="1:10" s="15" customFormat="1" ht="17.25" customHeight="1">
      <c r="A319" s="79">
        <v>41871</v>
      </c>
      <c r="B319" s="71">
        <v>158.08189100000001</v>
      </c>
      <c r="C319" s="67">
        <f t="shared" si="256"/>
        <v>157.607645327</v>
      </c>
      <c r="D319" s="67">
        <f t="shared" ref="D319:D324" si="257">1.003*B319</f>
        <v>158.556136673</v>
      </c>
      <c r="E319" s="81">
        <f>6432.098/4893.543*100</f>
        <v>131.44051252844821</v>
      </c>
      <c r="F319" s="31">
        <v>894149</v>
      </c>
      <c r="G319" s="81">
        <v>143.6</v>
      </c>
      <c r="H319" s="90"/>
      <c r="I319" s="14"/>
      <c r="J319" s="14"/>
    </row>
    <row r="320" spans="1:10" s="15" customFormat="1" ht="17.25" customHeight="1">
      <c r="A320" s="79">
        <v>41864</v>
      </c>
      <c r="B320" s="71">
        <v>156.88326599999999</v>
      </c>
      <c r="C320" s="67">
        <f t="shared" si="256"/>
        <v>156.41261620199998</v>
      </c>
      <c r="D320" s="67">
        <f t="shared" si="257"/>
        <v>157.35391579799997</v>
      </c>
      <c r="E320" s="81">
        <f>6328.167/4893.543*100</f>
        <v>129.31667301176267</v>
      </c>
      <c r="F320" s="31">
        <v>893558</v>
      </c>
      <c r="G320" s="81">
        <v>142.46</v>
      </c>
      <c r="H320" s="90"/>
      <c r="I320" s="14"/>
      <c r="J320" s="14"/>
    </row>
    <row r="321" spans="1:10" s="15" customFormat="1" ht="17.25" customHeight="1">
      <c r="A321" s="79">
        <v>41857</v>
      </c>
      <c r="B321" s="71">
        <v>156.2482</v>
      </c>
      <c r="C321" s="67">
        <f t="shared" si="256"/>
        <v>155.77945539999999</v>
      </c>
      <c r="D321" s="67">
        <f t="shared" si="257"/>
        <v>156.71694459999998</v>
      </c>
      <c r="E321" s="81">
        <f>6265.639/4893.543*100</f>
        <v>128.03890759721537</v>
      </c>
      <c r="F321" s="31">
        <v>892600.87</v>
      </c>
      <c r="G321" s="81">
        <v>141.72</v>
      </c>
      <c r="H321" s="90"/>
      <c r="I321" s="14"/>
      <c r="J321" s="14"/>
    </row>
    <row r="322" spans="1:10" s="15" customFormat="1" ht="17.25" customHeight="1">
      <c r="A322" s="79">
        <v>41850</v>
      </c>
      <c r="B322" s="71">
        <v>158.86160000000001</v>
      </c>
      <c r="C322" s="67">
        <f t="shared" si="256"/>
        <v>158.3850152</v>
      </c>
      <c r="D322" s="67">
        <f t="shared" si="257"/>
        <v>159.33818479999999</v>
      </c>
      <c r="E322" s="81">
        <f>6436.578/4893.543*100</f>
        <v>131.5320617393165</v>
      </c>
      <c r="F322" s="31">
        <v>897259</v>
      </c>
      <c r="G322" s="81">
        <v>144.82</v>
      </c>
      <c r="H322" s="90"/>
      <c r="I322" s="14"/>
      <c r="J322" s="14"/>
    </row>
    <row r="323" spans="1:10" s="15" customFormat="1" ht="17.25" customHeight="1">
      <c r="A323" s="79">
        <v>41843</v>
      </c>
      <c r="B323" s="71">
        <v>159.64580000000001</v>
      </c>
      <c r="C323" s="67">
        <f t="shared" si="256"/>
        <v>159.1668626</v>
      </c>
      <c r="D323" s="67">
        <f t="shared" si="257"/>
        <v>160.12473739999999</v>
      </c>
      <c r="E323" s="81">
        <f>6486.901/4893.543*100</f>
        <v>132.56041685952283</v>
      </c>
      <c r="F323" s="31">
        <v>896109.56</v>
      </c>
      <c r="G323" s="81">
        <v>145.35</v>
      </c>
      <c r="H323" s="90"/>
      <c r="I323" s="14"/>
      <c r="J323" s="14"/>
    </row>
    <row r="324" spans="1:10" s="15" customFormat="1" ht="17.25" customHeight="1">
      <c r="A324" s="79">
        <v>41836</v>
      </c>
      <c r="B324" s="71">
        <v>159.19040000000001</v>
      </c>
      <c r="C324" s="67">
        <f t="shared" si="256"/>
        <v>158.71282880000001</v>
      </c>
      <c r="D324" s="67">
        <f t="shared" si="257"/>
        <v>159.66797119999998</v>
      </c>
      <c r="E324" s="81">
        <f>6476.301/4893.543*100</f>
        <v>132.34380488737915</v>
      </c>
      <c r="F324" s="31">
        <v>895263.58</v>
      </c>
      <c r="G324" s="81">
        <v>144.79</v>
      </c>
      <c r="H324" s="90"/>
      <c r="I324" s="14"/>
      <c r="J324" s="14"/>
    </row>
    <row r="325" spans="1:10" s="15" customFormat="1" ht="17.25" customHeight="1">
      <c r="A325" s="79">
        <v>41829</v>
      </c>
      <c r="B325" s="71">
        <v>159.67769999999999</v>
      </c>
      <c r="C325" s="67">
        <f t="shared" ref="C325:C331" si="258">0.997*B325</f>
        <v>159.19866689999998</v>
      </c>
      <c r="D325" s="67">
        <f t="shared" ref="D325:D330" si="259">1.003*B325</f>
        <v>160.15673309999997</v>
      </c>
      <c r="E325" s="81">
        <f>6455.141/4893.543*100</f>
        <v>131.91139834676022</v>
      </c>
      <c r="F325" s="31">
        <v>896676.84</v>
      </c>
      <c r="G325" s="81">
        <v>145.44999999999999</v>
      </c>
      <c r="H325" s="90"/>
      <c r="I325" s="14"/>
      <c r="J325" s="14"/>
    </row>
    <row r="326" spans="1:10" s="15" customFormat="1" ht="17.25" customHeight="1">
      <c r="A326" s="79">
        <v>41822</v>
      </c>
      <c r="B326" s="71">
        <v>160.35220000000001</v>
      </c>
      <c r="C326" s="67">
        <f t="shared" si="258"/>
        <v>159.87114340000002</v>
      </c>
      <c r="D326" s="67">
        <f t="shared" si="259"/>
        <v>160.8332566</v>
      </c>
      <c r="E326" s="81">
        <f>6493.642/4893.543*100</f>
        <v>132.69816981275122</v>
      </c>
      <c r="F326" s="31">
        <v>897215.54</v>
      </c>
      <c r="G326" s="81">
        <v>146.13999999999999</v>
      </c>
      <c r="H326" s="90"/>
      <c r="I326" s="14"/>
      <c r="J326" s="14"/>
    </row>
    <row r="327" spans="1:10" s="15" customFormat="1" ht="17.25" customHeight="1">
      <c r="A327" s="79">
        <v>41815</v>
      </c>
      <c r="B327" s="71">
        <v>157.31780000000001</v>
      </c>
      <c r="C327" s="67">
        <f t="shared" si="258"/>
        <v>156.84584660000002</v>
      </c>
      <c r="D327" s="67">
        <f t="shared" si="259"/>
        <v>157.7897534</v>
      </c>
      <c r="E327" s="81">
        <f>6420.768/4893.543*100</f>
        <v>131.208982939355</v>
      </c>
      <c r="F327" s="31">
        <v>897215.54</v>
      </c>
      <c r="G327" s="81">
        <v>143.37</v>
      </c>
      <c r="H327" s="90"/>
      <c r="I327" s="14"/>
      <c r="J327" s="14"/>
    </row>
    <row r="328" spans="1:10" s="15" customFormat="1" ht="17.25" customHeight="1">
      <c r="A328" s="79">
        <v>41808</v>
      </c>
      <c r="B328" s="71">
        <v>156.90010000000001</v>
      </c>
      <c r="C328" s="67">
        <f t="shared" si="258"/>
        <v>156.4293997</v>
      </c>
      <c r="D328" s="67">
        <f t="shared" si="259"/>
        <v>157.37080029999998</v>
      </c>
      <c r="E328" s="81">
        <f>6417.417/4893.543*100</f>
        <v>131.1405049470292</v>
      </c>
      <c r="F328" s="31">
        <v>897215.54</v>
      </c>
      <c r="G328" s="81">
        <v>142.97999999999999</v>
      </c>
      <c r="H328" s="90"/>
      <c r="I328" s="14"/>
      <c r="J328" s="14"/>
    </row>
    <row r="329" spans="1:10" s="15" customFormat="1" ht="17.25" customHeight="1">
      <c r="A329" s="79">
        <v>41801</v>
      </c>
      <c r="B329" s="71">
        <v>156.1249</v>
      </c>
      <c r="C329" s="67">
        <f t="shared" si="258"/>
        <v>155.6565253</v>
      </c>
      <c r="D329" s="67">
        <f t="shared" si="259"/>
        <v>156.59327469999997</v>
      </c>
      <c r="E329" s="81">
        <f>6391.168/4893.543*100</f>
        <v>130.60410422468956</v>
      </c>
      <c r="F329" s="31">
        <v>896917.63</v>
      </c>
      <c r="G329" s="81">
        <v>142.22</v>
      </c>
      <c r="H329" s="90"/>
      <c r="I329" s="14"/>
      <c r="J329" s="14"/>
    </row>
    <row r="330" spans="1:10" s="15" customFormat="1" ht="17.25" customHeight="1">
      <c r="A330" s="79">
        <v>41794</v>
      </c>
      <c r="B330" s="71">
        <v>154.02699999999999</v>
      </c>
      <c r="C330" s="67">
        <f t="shared" si="258"/>
        <v>153.56491899999997</v>
      </c>
      <c r="D330" s="67">
        <f t="shared" si="259"/>
        <v>154.48908099999997</v>
      </c>
      <c r="E330" s="81">
        <f>6338.588/4893.543*100</f>
        <v>129.52962710248997</v>
      </c>
      <c r="F330" s="31">
        <v>896917.63</v>
      </c>
      <c r="G330" s="81">
        <v>140.30000000000001</v>
      </c>
      <c r="H330" s="90">
        <v>6338.5879999999997</v>
      </c>
      <c r="I330" s="14"/>
      <c r="J330" s="14"/>
    </row>
    <row r="331" spans="1:10" s="15" customFormat="1" ht="17.25" customHeight="1">
      <c r="A331" s="79">
        <v>41787</v>
      </c>
      <c r="B331" s="71">
        <v>153.02449999999999</v>
      </c>
      <c r="C331" s="67">
        <f t="shared" si="258"/>
        <v>152.5654265</v>
      </c>
      <c r="D331" s="67">
        <f t="shared" ref="D331:D336" si="260">1.003*B331</f>
        <v>153.48357349999998</v>
      </c>
      <c r="E331" s="81">
        <f>6292.372/4893.543*100</f>
        <v>128.58519890394345</v>
      </c>
      <c r="F331" s="31">
        <v>899583.8</v>
      </c>
      <c r="G331" s="81">
        <v>139.79</v>
      </c>
      <c r="H331" s="90">
        <v>6292.3720000000003</v>
      </c>
      <c r="I331" s="14"/>
      <c r="J331" s="14"/>
    </row>
    <row r="332" spans="1:10" s="15" customFormat="1" ht="17.25" customHeight="1">
      <c r="A332" s="79">
        <v>41780</v>
      </c>
      <c r="B332" s="71">
        <v>152.95859999999999</v>
      </c>
      <c r="C332" s="67">
        <f t="shared" ref="C332:C337" si="261">0.997*B332</f>
        <v>152.4997242</v>
      </c>
      <c r="D332" s="67">
        <f t="shared" si="260"/>
        <v>153.41747579999998</v>
      </c>
      <c r="E332" s="81">
        <f>6217.118/4893.543*100</f>
        <v>127.04737651227343</v>
      </c>
      <c r="F332" s="31">
        <v>892802.02</v>
      </c>
      <c r="G332" s="81">
        <v>138.68</v>
      </c>
      <c r="H332" s="87">
        <v>6217.1180000000004</v>
      </c>
      <c r="I332" s="14"/>
      <c r="J332" s="14"/>
    </row>
    <row r="333" spans="1:10" s="15" customFormat="1" ht="17.25" customHeight="1">
      <c r="A333" s="79">
        <v>41773</v>
      </c>
      <c r="B333" s="71">
        <v>154.41749999999999</v>
      </c>
      <c r="C333" s="67">
        <f t="shared" si="261"/>
        <v>153.95424749999998</v>
      </c>
      <c r="D333" s="67">
        <f t="shared" si="260"/>
        <v>154.88075249999997</v>
      </c>
      <c r="E333" s="81">
        <f>6241.758/4893.543*100</f>
        <v>127.55089717204898</v>
      </c>
      <c r="F333" s="31">
        <v>892802.02</v>
      </c>
      <c r="G333" s="81">
        <v>140</v>
      </c>
      <c r="H333" s="37">
        <v>6241.7579999999998</v>
      </c>
      <c r="I333" s="14"/>
      <c r="J333" s="14"/>
    </row>
    <row r="334" spans="1:10" s="15" customFormat="1" ht="17.25" customHeight="1">
      <c r="A334" s="79">
        <v>41766</v>
      </c>
      <c r="B334" s="71">
        <v>154.1114</v>
      </c>
      <c r="C334" s="67">
        <f t="shared" si="261"/>
        <v>153.64906580000002</v>
      </c>
      <c r="D334" s="67">
        <f t="shared" si="260"/>
        <v>154.57373419999999</v>
      </c>
      <c r="E334" s="81">
        <f>6191.914/4893.543*100</f>
        <v>126.5323304607725</v>
      </c>
      <c r="F334" s="31">
        <v>892155.08</v>
      </c>
      <c r="G334" s="81">
        <v>139.61000000000001</v>
      </c>
      <c r="H334" s="37">
        <v>6191.9139999999998</v>
      </c>
      <c r="I334" s="14"/>
      <c r="J334" s="14"/>
    </row>
    <row r="335" spans="1:10" s="15" customFormat="1" ht="17.25" customHeight="1">
      <c r="A335" s="79">
        <v>41759</v>
      </c>
      <c r="B335" s="71">
        <v>155.19880000000001</v>
      </c>
      <c r="C335" s="67">
        <f t="shared" si="261"/>
        <v>154.7332036</v>
      </c>
      <c r="D335" s="67">
        <f t="shared" si="260"/>
        <v>155.66439639999999</v>
      </c>
      <c r="E335" s="81">
        <f>6198.798/4893.543*100</f>
        <v>126.67300563211563</v>
      </c>
      <c r="F335" s="31">
        <v>890274.11</v>
      </c>
      <c r="G335" s="81">
        <v>140.30000000000001</v>
      </c>
      <c r="H335" s="37">
        <v>6198.7979999999998</v>
      </c>
      <c r="I335" s="14"/>
      <c r="J335" s="14"/>
    </row>
    <row r="336" spans="1:10" s="15" customFormat="1" ht="17.25" customHeight="1">
      <c r="A336" s="79">
        <v>41752</v>
      </c>
      <c r="B336" s="71">
        <v>155.2551</v>
      </c>
      <c r="C336" s="67">
        <f t="shared" si="261"/>
        <v>154.78933470000001</v>
      </c>
      <c r="D336" s="67">
        <f t="shared" si="260"/>
        <v>155.72086529999999</v>
      </c>
      <c r="E336" s="81">
        <f>6163.326/4893.543*100</f>
        <v>125.94813205891928</v>
      </c>
      <c r="F336" s="31">
        <v>890274.11</v>
      </c>
      <c r="G336" s="81">
        <v>140.34</v>
      </c>
      <c r="H336" s="37">
        <v>6163.326</v>
      </c>
      <c r="I336" s="14"/>
      <c r="J336" s="14"/>
    </row>
    <row r="337" spans="1:10" s="15" customFormat="1" ht="17.25" customHeight="1">
      <c r="A337" s="79">
        <v>41745</v>
      </c>
      <c r="B337" s="71">
        <v>153.21369999999999</v>
      </c>
      <c r="C337" s="67">
        <f t="shared" si="261"/>
        <v>152.75405889999999</v>
      </c>
      <c r="D337" s="67">
        <f t="shared" ref="D337:D342" si="262">1.003*B337</f>
        <v>153.67334109999996</v>
      </c>
      <c r="E337" s="81">
        <f>6108.127/4893.543*100</f>
        <v>124.82013543152684</v>
      </c>
      <c r="F337" s="31">
        <v>879904.06</v>
      </c>
      <c r="G337" s="81">
        <v>139.51</v>
      </c>
      <c r="H337" s="37">
        <v>6108.1270000000004</v>
      </c>
      <c r="I337" s="14"/>
      <c r="J337" s="14"/>
    </row>
    <row r="338" spans="1:10" s="15" customFormat="1" ht="17.25" customHeight="1">
      <c r="A338" s="79">
        <v>41738</v>
      </c>
      <c r="B338" s="71">
        <v>153.86609999999999</v>
      </c>
      <c r="C338" s="67">
        <f t="shared" ref="C338:C344" si="263">0.997*B338</f>
        <v>153.4045017</v>
      </c>
      <c r="D338" s="67">
        <f t="shared" si="262"/>
        <v>154.32769829999998</v>
      </c>
      <c r="E338" s="81">
        <f>6142.728/4893.543*100</f>
        <v>125.5272100398423</v>
      </c>
      <c r="F338" s="31">
        <v>885910.96</v>
      </c>
      <c r="G338" s="81">
        <v>139.51</v>
      </c>
      <c r="H338" s="37">
        <v>6142.7280000000001</v>
      </c>
      <c r="I338" s="14"/>
      <c r="J338" s="14"/>
    </row>
    <row r="339" spans="1:10" s="15" customFormat="1" ht="17.25" customHeight="1">
      <c r="A339" s="79">
        <v>41731</v>
      </c>
      <c r="B339" s="71">
        <v>154.75649999999999</v>
      </c>
      <c r="C339" s="67">
        <f t="shared" si="263"/>
        <v>154.29223049999999</v>
      </c>
      <c r="D339" s="67">
        <f t="shared" si="262"/>
        <v>155.22076949999996</v>
      </c>
      <c r="E339" s="81">
        <f>6183.726/4893.543*100</f>
        <v>126.36500792983733</v>
      </c>
      <c r="F339" s="31">
        <v>887964.21</v>
      </c>
      <c r="G339" s="81">
        <v>139.51</v>
      </c>
      <c r="H339" s="37">
        <v>6183.7259999999997</v>
      </c>
      <c r="I339" s="14"/>
      <c r="J339" s="14"/>
    </row>
    <row r="340" spans="1:10" s="15" customFormat="1" ht="17.25" customHeight="1">
      <c r="A340" s="79">
        <v>41724</v>
      </c>
      <c r="B340" s="71">
        <v>151.34139999999999</v>
      </c>
      <c r="C340" s="67">
        <f t="shared" si="263"/>
        <v>150.8873758</v>
      </c>
      <c r="D340" s="67">
        <f t="shared" si="262"/>
        <v>151.79542419999999</v>
      </c>
      <c r="E340" s="81">
        <f>6054.943/4893.543*100</f>
        <v>123.73331551393338</v>
      </c>
      <c r="F340" s="31">
        <v>887304</v>
      </c>
      <c r="G340" s="81">
        <v>136.32</v>
      </c>
      <c r="H340" s="37">
        <v>6054.9430000000002</v>
      </c>
      <c r="I340" s="14"/>
      <c r="J340" s="14"/>
    </row>
    <row r="341" spans="1:10" s="15" customFormat="1" ht="17.25" customHeight="1">
      <c r="A341" s="79">
        <v>41717</v>
      </c>
      <c r="B341" s="71">
        <v>152.63229999999999</v>
      </c>
      <c r="C341" s="67">
        <f t="shared" si="263"/>
        <v>152.17440309999998</v>
      </c>
      <c r="D341" s="67">
        <f t="shared" si="262"/>
        <v>153.09019689999997</v>
      </c>
      <c r="E341" s="81">
        <f>6065.883/4893.543*100</f>
        <v>123.95687541725904</v>
      </c>
      <c r="F341" s="31">
        <v>924077.1</v>
      </c>
      <c r="G341" s="81">
        <v>143.09</v>
      </c>
      <c r="H341" s="37">
        <v>6065.8829999999998</v>
      </c>
      <c r="I341" s="14"/>
      <c r="J341" s="14"/>
    </row>
    <row r="342" spans="1:10" s="15" customFormat="1" ht="17.25" customHeight="1">
      <c r="A342" s="79">
        <v>41710</v>
      </c>
      <c r="B342" s="71">
        <v>155.78970000000001</v>
      </c>
      <c r="C342" s="67">
        <f t="shared" si="263"/>
        <v>155.3223309</v>
      </c>
      <c r="D342" s="67">
        <f t="shared" si="262"/>
        <v>156.2570691</v>
      </c>
      <c r="E342" s="81">
        <f>6091.955/4893.543*100</f>
        <v>124.48965912836569</v>
      </c>
      <c r="F342" s="31">
        <v>924077.1</v>
      </c>
      <c r="G342" s="81">
        <v>146.04</v>
      </c>
      <c r="H342" s="37">
        <v>6091.9549999999999</v>
      </c>
      <c r="I342" s="14"/>
      <c r="J342" s="14"/>
    </row>
    <row r="343" spans="1:10" s="15" customFormat="1" ht="17.25" customHeight="1">
      <c r="A343" s="79">
        <v>41703</v>
      </c>
      <c r="B343" s="68">
        <v>154.31743044231803</v>
      </c>
      <c r="C343" s="67">
        <f t="shared" si="263"/>
        <v>153.85447815099107</v>
      </c>
      <c r="D343" s="67">
        <f t="shared" ref="D343:D348" si="264">1.003*B343</f>
        <v>154.78038273364496</v>
      </c>
      <c r="E343" s="81">
        <f>6135.859/4893.543*100</f>
        <v>125.38684139487486</v>
      </c>
      <c r="F343" s="31">
        <v>917882</v>
      </c>
      <c r="G343" s="81">
        <v>144.66</v>
      </c>
      <c r="H343" s="37">
        <v>6135.8590000000004</v>
      </c>
      <c r="I343" s="14"/>
      <c r="J343" s="14"/>
    </row>
    <row r="344" spans="1:10" ht="17.25" customHeight="1">
      <c r="A344" s="79">
        <v>41696</v>
      </c>
      <c r="B344" s="71">
        <v>153.720516</v>
      </c>
      <c r="C344" s="67">
        <f t="shared" si="263"/>
        <v>153.259354452</v>
      </c>
      <c r="D344" s="67">
        <f t="shared" si="264"/>
        <v>154.18167754799998</v>
      </c>
      <c r="E344" s="81">
        <f>6079.656/4893.543*100</f>
        <v>124.23832793540386</v>
      </c>
      <c r="F344" s="31">
        <v>917882</v>
      </c>
      <c r="G344" s="81">
        <v>143.137</v>
      </c>
      <c r="H344" s="37">
        <v>6079.6559999999999</v>
      </c>
      <c r="I344" s="4"/>
      <c r="J344" s="4"/>
    </row>
    <row r="345" spans="1:10" s="15" customFormat="1" ht="17.25" customHeight="1">
      <c r="A345" s="79">
        <v>41689</v>
      </c>
      <c r="B345" s="71">
        <v>153.48400000000001</v>
      </c>
      <c r="C345" s="67">
        <f t="shared" ref="C345:C351" si="265">0.997*B345</f>
        <v>153.02354800000001</v>
      </c>
      <c r="D345" s="67">
        <f t="shared" si="264"/>
        <v>153.94445199999998</v>
      </c>
      <c r="E345" s="81">
        <f>6040.905/4893.543*100</f>
        <v>123.44644769648494</v>
      </c>
      <c r="F345" s="31">
        <v>917764.53</v>
      </c>
      <c r="G345" s="81">
        <v>142.88999999999999</v>
      </c>
      <c r="H345" s="37">
        <v>6040.9049999999997</v>
      </c>
      <c r="I345" s="14"/>
      <c r="J345" s="14"/>
    </row>
    <row r="346" spans="1:10" s="15" customFormat="1" ht="17.25" customHeight="1">
      <c r="A346" s="79">
        <v>41682</v>
      </c>
      <c r="B346" s="71">
        <v>152.3056</v>
      </c>
      <c r="C346" s="67">
        <f t="shared" si="265"/>
        <v>151.84868320000001</v>
      </c>
      <c r="D346" s="67">
        <f t="shared" si="264"/>
        <v>152.76251679999999</v>
      </c>
      <c r="E346" s="81">
        <f>5974.522/4893.543*100</f>
        <v>122.08990500338916</v>
      </c>
      <c r="F346" s="31">
        <v>917764.53</v>
      </c>
      <c r="G346" s="81">
        <v>141.78</v>
      </c>
      <c r="H346" s="37">
        <v>5974.5219999999999</v>
      </c>
      <c r="I346" s="14"/>
      <c r="J346" s="14"/>
    </row>
    <row r="347" spans="1:10" s="15" customFormat="1" ht="17.25" customHeight="1">
      <c r="A347" s="79">
        <v>41675</v>
      </c>
      <c r="B347" s="71">
        <v>145.55510000000001</v>
      </c>
      <c r="C347" s="67">
        <f t="shared" si="265"/>
        <v>145.11843470000002</v>
      </c>
      <c r="D347" s="67">
        <f t="shared" si="264"/>
        <v>145.9917653</v>
      </c>
      <c r="E347" s="81">
        <f>5731.751/4893.543*100</f>
        <v>117.12885735345537</v>
      </c>
      <c r="F347" s="31">
        <v>917148.13</v>
      </c>
      <c r="G347" s="81">
        <v>135.4</v>
      </c>
      <c r="H347" s="37">
        <v>5731.7510000000002</v>
      </c>
      <c r="I347" s="14"/>
      <c r="J347" s="14"/>
    </row>
    <row r="348" spans="1:10" s="15" customFormat="1" ht="17.25" customHeight="1">
      <c r="A348" s="79">
        <v>41668</v>
      </c>
      <c r="B348" s="71">
        <v>150.25559999999999</v>
      </c>
      <c r="C348" s="67">
        <f t="shared" si="265"/>
        <v>149.80483319999999</v>
      </c>
      <c r="D348" s="67">
        <f t="shared" si="264"/>
        <v>150.70636679999998</v>
      </c>
      <c r="E348" s="81">
        <f>5844.175/4893.543*100</f>
        <v>119.42625210404813</v>
      </c>
      <c r="F348" s="31">
        <v>917148.13</v>
      </c>
      <c r="G348" s="81">
        <v>139.76</v>
      </c>
      <c r="H348" s="37">
        <v>5844.1750000000002</v>
      </c>
      <c r="I348" s="14"/>
      <c r="J348" s="14"/>
    </row>
    <row r="349" spans="1:10" s="15" customFormat="1" ht="17.25" customHeight="1">
      <c r="A349" s="79">
        <v>41661</v>
      </c>
      <c r="B349" s="71">
        <v>153.37360000000001</v>
      </c>
      <c r="C349" s="67">
        <f t="shared" si="265"/>
        <v>152.91347920000001</v>
      </c>
      <c r="D349" s="67">
        <f t="shared" ref="D349:D354" si="266">1.003*B349</f>
        <v>153.83372079999998</v>
      </c>
      <c r="E349" s="81">
        <f>6054.233/4893.543*100</f>
        <v>123.71880659881809</v>
      </c>
      <c r="F349" s="31">
        <v>917019.84</v>
      </c>
      <c r="G349" s="81">
        <v>142.63999999999999</v>
      </c>
      <c r="H349" s="37">
        <v>6054.2330000000002</v>
      </c>
      <c r="I349" s="14"/>
      <c r="J349" s="14"/>
    </row>
    <row r="350" spans="1:10" s="15" customFormat="1" ht="17.25" customHeight="1">
      <c r="A350" s="79">
        <v>41654</v>
      </c>
      <c r="B350" s="71">
        <v>153.017</v>
      </c>
      <c r="C350" s="67">
        <f t="shared" si="265"/>
        <v>152.55794900000001</v>
      </c>
      <c r="D350" s="67">
        <f t="shared" si="266"/>
        <v>153.47605099999998</v>
      </c>
      <c r="E350" s="81">
        <f>6047.049/4893.543*100</f>
        <v>123.57200089996145</v>
      </c>
      <c r="F350" s="31">
        <v>910721</v>
      </c>
      <c r="G350" s="81">
        <v>141.34</v>
      </c>
      <c r="H350" s="37">
        <v>6047.049</v>
      </c>
      <c r="I350" s="14"/>
      <c r="J350" s="14"/>
    </row>
    <row r="351" spans="1:10" ht="17.25" customHeight="1">
      <c r="A351" s="79">
        <v>41647</v>
      </c>
      <c r="B351" s="71">
        <v>150.691</v>
      </c>
      <c r="C351" s="67">
        <f t="shared" si="265"/>
        <v>150.23892699999999</v>
      </c>
      <c r="D351" s="67">
        <f t="shared" si="266"/>
        <v>151.14307299999999</v>
      </c>
      <c r="E351" s="81">
        <f>6010.408/4893.543*100</f>
        <v>122.82323870455416</v>
      </c>
      <c r="F351" s="31">
        <v>910721.31</v>
      </c>
      <c r="G351" s="81">
        <v>139.18</v>
      </c>
      <c r="H351" s="37">
        <v>6010.4080000000004</v>
      </c>
      <c r="I351" s="4"/>
      <c r="J351" s="4"/>
    </row>
    <row r="352" spans="1:10" s="15" customFormat="1" ht="17.25" customHeight="1">
      <c r="A352" s="79">
        <v>41639</v>
      </c>
      <c r="B352" s="71">
        <v>150.80529999999999</v>
      </c>
      <c r="C352" s="67">
        <f t="shared" ref="C352:C358" si="267">0.997*B352</f>
        <v>150.35288409999998</v>
      </c>
      <c r="D352" s="67">
        <f t="shared" si="266"/>
        <v>151.25771589999997</v>
      </c>
      <c r="E352" s="81">
        <f>6048.181/4893.543*100</f>
        <v>123.59513342377906</v>
      </c>
      <c r="F352" s="31">
        <v>911361.24</v>
      </c>
      <c r="G352" s="81">
        <v>139.37</v>
      </c>
      <c r="H352" s="37">
        <v>6048.1809999999996</v>
      </c>
      <c r="I352" s="14"/>
      <c r="J352" s="14"/>
    </row>
    <row r="353" spans="1:10" s="15" customFormat="1" ht="17.25" customHeight="1">
      <c r="A353" s="79">
        <v>41633</v>
      </c>
      <c r="B353" s="71">
        <v>148.00973099999999</v>
      </c>
      <c r="C353" s="67">
        <f t="shared" si="267"/>
        <v>147.56570180699998</v>
      </c>
      <c r="D353" s="67">
        <f t="shared" si="266"/>
        <v>148.45376019299997</v>
      </c>
      <c r="E353" s="81">
        <f>5968.56/4893.543*100</f>
        <v>121.9680709866042</v>
      </c>
      <c r="F353" s="31">
        <v>903782</v>
      </c>
      <c r="G353" s="81">
        <v>135.66</v>
      </c>
      <c r="H353" s="37">
        <v>5968.56</v>
      </c>
      <c r="I353" s="14"/>
      <c r="J353" s="14"/>
    </row>
    <row r="354" spans="1:10" s="15" customFormat="1" ht="17.25" customHeight="1">
      <c r="A354" s="79">
        <v>41626</v>
      </c>
      <c r="B354" s="71">
        <v>146.40090000000001</v>
      </c>
      <c r="C354" s="67">
        <f t="shared" si="267"/>
        <v>145.9616973</v>
      </c>
      <c r="D354" s="67">
        <f t="shared" si="266"/>
        <v>146.84010269999999</v>
      </c>
      <c r="E354" s="81">
        <f>5872.125/4893.543*100</f>
        <v>119.9974129173893</v>
      </c>
      <c r="F354" s="31">
        <v>903782</v>
      </c>
      <c r="G354" s="81">
        <v>134.18</v>
      </c>
      <c r="H354" s="37">
        <v>5872.125</v>
      </c>
      <c r="I354" s="14"/>
      <c r="J354" s="14"/>
    </row>
    <row r="355" spans="1:10" s="15" customFormat="1" ht="17.25" customHeight="1">
      <c r="A355" s="79">
        <v>41619</v>
      </c>
      <c r="B355" s="71">
        <v>146.9255</v>
      </c>
      <c r="C355" s="67">
        <f t="shared" si="267"/>
        <v>146.4847235</v>
      </c>
      <c r="D355" s="67">
        <f t="shared" ref="D355:D360" si="268">1.003*B355</f>
        <v>147.36627649999997</v>
      </c>
      <c r="E355" s="81">
        <f>5820.861/4893.543*100</f>
        <v>118.94982837588226</v>
      </c>
      <c r="F355" s="31">
        <v>903477.77</v>
      </c>
      <c r="G355" s="81">
        <v>134.61000000000001</v>
      </c>
      <c r="H355" s="37">
        <v>5820.8609999999999</v>
      </c>
      <c r="I355" s="14"/>
      <c r="J355" s="14"/>
    </row>
    <row r="356" spans="1:10" s="15" customFormat="1" ht="17.25" customHeight="1">
      <c r="A356" s="79">
        <v>41612</v>
      </c>
      <c r="B356" s="71">
        <v>146.977</v>
      </c>
      <c r="C356" s="67">
        <f t="shared" si="267"/>
        <v>146.536069</v>
      </c>
      <c r="D356" s="67">
        <f t="shared" si="268"/>
        <v>147.41793099999998</v>
      </c>
      <c r="E356" s="81">
        <f>5836.249/4893.543*100</f>
        <v>119.26428356714145</v>
      </c>
      <c r="F356" s="31">
        <v>903477.77</v>
      </c>
      <c r="G356" s="81">
        <v>134.65</v>
      </c>
      <c r="H356" s="37">
        <v>5836.2489999999998</v>
      </c>
      <c r="I356" s="14"/>
      <c r="J356" s="14"/>
    </row>
    <row r="357" spans="1:10" s="15" customFormat="1" ht="17.25" customHeight="1">
      <c r="A357" s="79">
        <v>41605</v>
      </c>
      <c r="B357" s="71">
        <v>148.7064</v>
      </c>
      <c r="C357" s="67">
        <f t="shared" si="267"/>
        <v>148.2602808</v>
      </c>
      <c r="D357" s="67">
        <f t="shared" si="268"/>
        <v>149.15251919999997</v>
      </c>
      <c r="E357" s="81">
        <f>5907.213/4893.543*100</f>
        <v>120.71443941536837</v>
      </c>
      <c r="F357" s="31">
        <v>901466.4</v>
      </c>
      <c r="G357" s="81">
        <v>135.91999999999999</v>
      </c>
      <c r="H357" s="37">
        <v>5907.2129999999997</v>
      </c>
      <c r="I357" s="14"/>
      <c r="J357" s="14"/>
    </row>
    <row r="358" spans="1:10" s="15" customFormat="1" ht="17.25" customHeight="1">
      <c r="A358" s="79">
        <v>41598</v>
      </c>
      <c r="B358" s="71">
        <v>148.02000000000001</v>
      </c>
      <c r="C358" s="67">
        <f t="shared" si="267"/>
        <v>147.57594</v>
      </c>
      <c r="D358" s="67">
        <f t="shared" si="268"/>
        <v>148.46405999999999</v>
      </c>
      <c r="E358" s="81">
        <f>5856.155/4893.543*100</f>
        <v>119.67106450275394</v>
      </c>
      <c r="F358" s="31">
        <v>901466.4</v>
      </c>
      <c r="G358" s="81">
        <v>135.29</v>
      </c>
      <c r="H358" s="37">
        <v>5856.1549999999997</v>
      </c>
      <c r="I358" s="14"/>
      <c r="J358" s="14"/>
    </row>
    <row r="359" spans="1:10" s="15" customFormat="1" ht="17.25" customHeight="1">
      <c r="A359" s="79">
        <v>41591</v>
      </c>
      <c r="B359" s="71">
        <v>147.98939999999999</v>
      </c>
      <c r="C359" s="67">
        <f t="shared" ref="C359:C365" si="269">0.997*B359</f>
        <v>147.54543179999999</v>
      </c>
      <c r="D359" s="67">
        <f t="shared" si="268"/>
        <v>148.43336819999996</v>
      </c>
      <c r="E359" s="81">
        <f>5817.831/4893.543*100</f>
        <v>118.8879100479959</v>
      </c>
      <c r="F359" s="31">
        <v>903106.58</v>
      </c>
      <c r="G359" s="81">
        <v>135.5</v>
      </c>
      <c r="H359" s="37">
        <v>5817.8310000000001</v>
      </c>
      <c r="I359" s="14"/>
      <c r="J359" s="14"/>
    </row>
    <row r="360" spans="1:10" s="15" customFormat="1" ht="17.25" customHeight="1">
      <c r="A360" s="79">
        <v>41584</v>
      </c>
      <c r="B360" s="71">
        <v>149.03399999999999</v>
      </c>
      <c r="C360" s="67">
        <f t="shared" si="269"/>
        <v>148.58689799999999</v>
      </c>
      <c r="D360" s="67">
        <f t="shared" si="268"/>
        <v>149.48110199999996</v>
      </c>
      <c r="E360" s="81">
        <f>5835.466/4893.543*100</f>
        <v>119.2482828903312</v>
      </c>
      <c r="F360" s="31">
        <v>895480.19</v>
      </c>
      <c r="G360" s="81">
        <v>135.31</v>
      </c>
      <c r="H360" s="37">
        <v>5835.4660000000003</v>
      </c>
      <c r="I360" s="14"/>
      <c r="J360" s="14"/>
    </row>
    <row r="361" spans="1:10" s="15" customFormat="1" ht="17.25" customHeight="1">
      <c r="A361" s="79">
        <v>41577</v>
      </c>
      <c r="B361" s="71">
        <v>150.27860000000001</v>
      </c>
      <c r="C361" s="67">
        <f t="shared" si="269"/>
        <v>149.82776420000002</v>
      </c>
      <c r="D361" s="67">
        <f t="shared" ref="D361:D366" si="270">1.003*B361</f>
        <v>150.7294358</v>
      </c>
      <c r="E361" s="81">
        <f>5846.966/4893.543*100</f>
        <v>119.48328644501542</v>
      </c>
      <c r="F361" s="31">
        <v>895480</v>
      </c>
      <c r="G361" s="81">
        <v>136.44</v>
      </c>
      <c r="H361" s="37">
        <v>5846.9660000000003</v>
      </c>
      <c r="I361" s="14"/>
      <c r="J361" s="14"/>
    </row>
    <row r="362" spans="1:10" ht="17.25" customHeight="1">
      <c r="A362" s="79">
        <v>41570</v>
      </c>
      <c r="B362" s="71">
        <v>149.3304</v>
      </c>
      <c r="C362" s="67">
        <f t="shared" si="269"/>
        <v>148.88240880000001</v>
      </c>
      <c r="D362" s="67">
        <f t="shared" si="270"/>
        <v>149.77839119999999</v>
      </c>
      <c r="E362" s="81">
        <f>5809.217/4893.543*100</f>
        <v>118.71188216799158</v>
      </c>
      <c r="F362" s="31">
        <v>895480.19</v>
      </c>
      <c r="G362" s="81">
        <v>135.56</v>
      </c>
      <c r="H362" s="37">
        <v>5809.2169999999996</v>
      </c>
      <c r="I362" s="4"/>
      <c r="J362" s="4"/>
    </row>
    <row r="363" spans="1:10" s="15" customFormat="1" ht="17.25" customHeight="1">
      <c r="A363" s="79">
        <v>41563</v>
      </c>
      <c r="B363" s="71">
        <v>147.27449999999999</v>
      </c>
      <c r="C363" s="67">
        <f t="shared" si="269"/>
        <v>146.83267649999999</v>
      </c>
      <c r="D363" s="67">
        <f t="shared" si="270"/>
        <v>147.71632349999999</v>
      </c>
      <c r="E363" s="81">
        <f>5694.532/4893.543*100</f>
        <v>116.36828367503873</v>
      </c>
      <c r="F363" s="31">
        <v>903110.79</v>
      </c>
      <c r="G363" s="81">
        <v>134.81</v>
      </c>
      <c r="H363" s="37">
        <v>5694.5320000000002</v>
      </c>
      <c r="I363" s="14"/>
      <c r="J363" s="14"/>
    </row>
    <row r="364" spans="1:10" s="15" customFormat="1" ht="17.25" customHeight="1">
      <c r="A364" s="79">
        <v>41556</v>
      </c>
      <c r="B364" s="71">
        <v>143.50569999999999</v>
      </c>
      <c r="C364" s="67">
        <f t="shared" si="269"/>
        <v>143.07518289999999</v>
      </c>
      <c r="D364" s="67">
        <f t="shared" si="270"/>
        <v>143.93621709999996</v>
      </c>
      <c r="E364" s="81">
        <f>5510.307/4893.543*100</f>
        <v>112.60362890445634</v>
      </c>
      <c r="F364" s="31">
        <v>900103.69</v>
      </c>
      <c r="G364" s="81">
        <v>130.91999999999999</v>
      </c>
      <c r="H364" s="37">
        <v>5510.3069999999998</v>
      </c>
      <c r="I364" s="14"/>
      <c r="J364" s="14"/>
    </row>
    <row r="365" spans="1:10" s="15" customFormat="1" ht="17.25" customHeight="1">
      <c r="A365" s="79">
        <v>41549</v>
      </c>
      <c r="B365" s="71">
        <v>145.36330000000001</v>
      </c>
      <c r="C365" s="67">
        <f t="shared" si="269"/>
        <v>144.9272101</v>
      </c>
      <c r="D365" s="67">
        <f t="shared" si="270"/>
        <v>145.79938989999999</v>
      </c>
      <c r="E365" s="81">
        <f>5621.932/4893.543*100</f>
        <v>114.8846960167715</v>
      </c>
      <c r="F365" s="31">
        <v>901398.13</v>
      </c>
      <c r="G365" s="81">
        <v>132.80000000000001</v>
      </c>
      <c r="H365" s="37">
        <v>5621.9319999999998</v>
      </c>
      <c r="I365" s="14"/>
      <c r="J365" s="14"/>
    </row>
    <row r="366" spans="1:10" s="15" customFormat="1" ht="17.25" customHeight="1">
      <c r="A366" s="79">
        <v>41542</v>
      </c>
      <c r="B366" s="71">
        <v>146.16569999999999</v>
      </c>
      <c r="C366" s="67">
        <f t="shared" ref="C366:C372" si="271">0.997*B366</f>
        <v>145.72720289999998</v>
      </c>
      <c r="D366" s="67">
        <f t="shared" si="270"/>
        <v>146.60419709999996</v>
      </c>
      <c r="E366" s="81">
        <f>5626.041/4893.543*100</f>
        <v>114.96866380861475</v>
      </c>
      <c r="F366" s="31">
        <v>901398.13</v>
      </c>
      <c r="G366" s="81">
        <v>133.52000000000001</v>
      </c>
      <c r="H366" s="37">
        <v>5626.0410000000002</v>
      </c>
      <c r="I366" s="14"/>
      <c r="J366" s="14"/>
    </row>
    <row r="367" spans="1:10" s="15" customFormat="1" ht="17.25" customHeight="1">
      <c r="A367" s="79">
        <v>41535</v>
      </c>
      <c r="B367" s="71">
        <v>147.14940000000001</v>
      </c>
      <c r="C367" s="67">
        <f t="shared" si="271"/>
        <v>146.70795180000002</v>
      </c>
      <c r="D367" s="67">
        <f t="shared" ref="D367:D372" si="272">1.003*B367</f>
        <v>147.59084820000001</v>
      </c>
      <c r="E367" s="81">
        <f>5652.343/4893.543*100</f>
        <v>115.50614759081508</v>
      </c>
      <c r="F367" s="31">
        <v>894723.19</v>
      </c>
      <c r="G367" s="81">
        <v>133.43</v>
      </c>
      <c r="H367" s="37">
        <v>5652.3429999999998</v>
      </c>
      <c r="I367" s="14"/>
      <c r="J367" s="14"/>
    </row>
    <row r="368" spans="1:10" s="15" customFormat="1" ht="17.25" customHeight="1">
      <c r="A368" s="79">
        <v>41528</v>
      </c>
      <c r="B368" s="71">
        <v>145.50819999999999</v>
      </c>
      <c r="C368" s="67">
        <f t="shared" si="271"/>
        <v>145.07167539999998</v>
      </c>
      <c r="D368" s="67">
        <f t="shared" si="272"/>
        <v>145.94472459999997</v>
      </c>
      <c r="E368" s="81">
        <f>5557.602/4893.543*100</f>
        <v>113.57010656695978</v>
      </c>
      <c r="F368" s="31">
        <v>894723.19</v>
      </c>
      <c r="G368" s="81">
        <v>131.94</v>
      </c>
      <c r="H368" s="37">
        <v>5557.6019999999999</v>
      </c>
      <c r="I368" s="14"/>
      <c r="J368" s="14"/>
    </row>
    <row r="369" spans="1:10" s="15" customFormat="1" ht="17.25" customHeight="1">
      <c r="A369" s="79">
        <v>41521</v>
      </c>
      <c r="B369" s="71">
        <v>143.06440000000001</v>
      </c>
      <c r="C369" s="67">
        <f t="shared" si="271"/>
        <v>142.63520679999999</v>
      </c>
      <c r="D369" s="67">
        <f t="shared" si="272"/>
        <v>143.49359319999999</v>
      </c>
      <c r="E369" s="81">
        <f>5413.005/4893.543*100</f>
        <v>110.61525361072746</v>
      </c>
      <c r="F369" s="31">
        <v>893747.54</v>
      </c>
      <c r="G369" s="81">
        <v>129.57</v>
      </c>
      <c r="H369" s="37">
        <v>5413.0050000000001</v>
      </c>
      <c r="I369" s="14"/>
      <c r="J369" s="14"/>
    </row>
    <row r="370" spans="1:10" s="15" customFormat="1" ht="17.25" customHeight="1">
      <c r="A370" s="79">
        <v>41514</v>
      </c>
      <c r="B370" s="71">
        <v>141.9306</v>
      </c>
      <c r="C370" s="67">
        <f t="shared" si="271"/>
        <v>141.50480819999999</v>
      </c>
      <c r="D370" s="67">
        <f t="shared" si="272"/>
        <v>142.35639179999998</v>
      </c>
      <c r="E370" s="81">
        <f>5351.425/4893.543*100</f>
        <v>109.35686066312283</v>
      </c>
      <c r="F370" s="31">
        <v>893466.56</v>
      </c>
      <c r="G370" s="81">
        <v>128.5</v>
      </c>
      <c r="H370" s="37">
        <v>5351.4250000000002</v>
      </c>
      <c r="I370" s="14"/>
      <c r="J370" s="14"/>
    </row>
    <row r="371" spans="1:10" s="15" customFormat="1" ht="17.25" customHeight="1">
      <c r="A371" s="79">
        <v>41507</v>
      </c>
      <c r="B371" s="71">
        <v>141.80760000000001</v>
      </c>
      <c r="C371" s="67">
        <f t="shared" si="271"/>
        <v>141.3821772</v>
      </c>
      <c r="D371" s="67">
        <f t="shared" si="272"/>
        <v>142.23302279999999</v>
      </c>
      <c r="E371" s="81">
        <f>5384.11/4893.543*100</f>
        <v>110.02478163571874</v>
      </c>
      <c r="F371" s="31">
        <v>891954.95</v>
      </c>
      <c r="G371" s="81">
        <v>128.16999999999999</v>
      </c>
      <c r="H371" s="37">
        <v>5384.11</v>
      </c>
      <c r="I371" s="14"/>
      <c r="J371" s="14"/>
    </row>
    <row r="372" spans="1:10" s="15" customFormat="1" ht="17.25" customHeight="1">
      <c r="A372" s="79">
        <v>41500</v>
      </c>
      <c r="B372" s="71">
        <v>144.30179999999999</v>
      </c>
      <c r="C372" s="67">
        <f t="shared" si="271"/>
        <v>143.86889459999998</v>
      </c>
      <c r="D372" s="67">
        <f t="shared" si="272"/>
        <v>144.73470539999997</v>
      </c>
      <c r="E372" s="81">
        <f>5516.024/4893.543*100</f>
        <v>112.72045632377197</v>
      </c>
      <c r="F372" s="31">
        <v>891954.95</v>
      </c>
      <c r="G372" s="81">
        <v>130.41</v>
      </c>
      <c r="H372" s="37">
        <v>5516.0240000000003</v>
      </c>
      <c r="I372" s="14"/>
      <c r="J372" s="14"/>
    </row>
    <row r="373" spans="1:10" s="15" customFormat="1" ht="17.25" customHeight="1">
      <c r="A373" s="79">
        <v>41493</v>
      </c>
      <c r="B373" s="71">
        <v>141.6473</v>
      </c>
      <c r="C373" s="67">
        <f t="shared" ref="C373:C379" si="273">0.997*B373</f>
        <v>141.22235810000001</v>
      </c>
      <c r="D373" s="67">
        <f t="shared" ref="D373:D378" si="274">1.003*B373</f>
        <v>142.07224189999999</v>
      </c>
      <c r="E373" s="81">
        <f>5483.591/4893.543*100</f>
        <v>112.05768499428738</v>
      </c>
      <c r="F373" s="31">
        <v>891954.95</v>
      </c>
      <c r="G373" s="81">
        <v>128.01</v>
      </c>
      <c r="H373" s="37">
        <v>5483.5910000000003</v>
      </c>
      <c r="I373" s="14"/>
      <c r="J373" s="14"/>
    </row>
    <row r="374" spans="1:10" s="15" customFormat="1" ht="17.25" customHeight="1">
      <c r="A374" s="79">
        <v>41486</v>
      </c>
      <c r="B374" s="71">
        <v>141.8202</v>
      </c>
      <c r="C374" s="67">
        <f t="shared" si="273"/>
        <v>141.39473939999999</v>
      </c>
      <c r="D374" s="67">
        <f t="shared" si="274"/>
        <v>142.24566059999998</v>
      </c>
      <c r="E374" s="81">
        <f>5439.347/4893.543*100</f>
        <v>111.15355479659625</v>
      </c>
      <c r="F374" s="31">
        <v>861873.81</v>
      </c>
      <c r="G374" s="81">
        <v>123.89</v>
      </c>
      <c r="H374" s="37">
        <v>5439.3469999999998</v>
      </c>
      <c r="I374" s="14"/>
      <c r="J374" s="14"/>
    </row>
    <row r="375" spans="1:10" s="15" customFormat="1" ht="17.25" customHeight="1">
      <c r="A375" s="79">
        <v>41479</v>
      </c>
      <c r="B375" s="71">
        <v>143.673</v>
      </c>
      <c r="C375" s="67">
        <f t="shared" si="273"/>
        <v>143.24198100000001</v>
      </c>
      <c r="D375" s="67">
        <f t="shared" si="274"/>
        <v>144.10401899999999</v>
      </c>
      <c r="E375" s="81">
        <f>5475.891/4893.543*100</f>
        <v>111.9003347881075</v>
      </c>
      <c r="F375" s="31">
        <v>865561</v>
      </c>
      <c r="G375" s="81">
        <v>126.03</v>
      </c>
      <c r="H375" s="37">
        <v>5475.8909999999996</v>
      </c>
      <c r="I375" s="14"/>
      <c r="J375" s="14"/>
    </row>
    <row r="376" spans="1:10" s="15" customFormat="1" ht="17.25" customHeight="1">
      <c r="A376" s="79">
        <v>41472</v>
      </c>
      <c r="B376" s="71">
        <v>141.71294399999999</v>
      </c>
      <c r="C376" s="67">
        <f t="shared" si="273"/>
        <v>141.28780516800001</v>
      </c>
      <c r="D376" s="67">
        <f t="shared" si="274"/>
        <v>142.13808283199998</v>
      </c>
      <c r="E376" s="81">
        <f>5421.085/4893.543*100</f>
        <v>110.78036915175775</v>
      </c>
      <c r="F376" s="31">
        <v>872128</v>
      </c>
      <c r="G376" s="81">
        <v>125.24</v>
      </c>
      <c r="H376" s="37">
        <v>5421.085</v>
      </c>
      <c r="I376" s="14"/>
      <c r="J376" s="14"/>
    </row>
    <row r="377" spans="1:10" ht="17.25" customHeight="1">
      <c r="A377" s="79">
        <v>41465</v>
      </c>
      <c r="B377" s="71">
        <v>138.957942</v>
      </c>
      <c r="C377" s="67">
        <f t="shared" si="273"/>
        <v>138.541068174</v>
      </c>
      <c r="D377" s="67">
        <f t="shared" si="274"/>
        <v>139.37481582599997</v>
      </c>
      <c r="E377" s="81">
        <f>5311.941/4893.543*100</f>
        <v>108.55000150197924</v>
      </c>
      <c r="F377" s="31">
        <v>854191</v>
      </c>
      <c r="G377" s="81">
        <v>120.31</v>
      </c>
      <c r="H377" s="37">
        <v>5311.9409999999998</v>
      </c>
      <c r="I377" s="4"/>
      <c r="J377" s="4"/>
    </row>
    <row r="378" spans="1:10" s="15" customFormat="1" ht="17.25" customHeight="1">
      <c r="A378" s="79">
        <v>41458</v>
      </c>
      <c r="B378" s="71">
        <v>136.48526741782217</v>
      </c>
      <c r="C378" s="67">
        <f t="shared" si="273"/>
        <v>136.07581161556871</v>
      </c>
      <c r="D378" s="67">
        <f t="shared" si="274"/>
        <v>136.89472322007563</v>
      </c>
      <c r="E378" s="81">
        <f>5192.522/4893.543*100</f>
        <v>106.10966328486336</v>
      </c>
      <c r="F378" s="31">
        <v>854311.19</v>
      </c>
      <c r="G378" s="81">
        <v>115.75</v>
      </c>
      <c r="H378" s="37">
        <v>5192.5219999999999</v>
      </c>
      <c r="I378" s="14"/>
      <c r="J378" s="14"/>
    </row>
    <row r="379" spans="1:10" s="15" customFormat="1" ht="17.25" customHeight="1">
      <c r="A379" s="79">
        <v>41451</v>
      </c>
      <c r="B379" s="71">
        <v>133.69829999999999</v>
      </c>
      <c r="C379" s="67">
        <f t="shared" si="273"/>
        <v>133.29720509999999</v>
      </c>
      <c r="D379" s="67">
        <f t="shared" ref="D379:D384" si="275">1.003*B379</f>
        <v>134.09939489999996</v>
      </c>
      <c r="E379" s="81">
        <f>5136.372/4893.543*100</f>
        <v>104.96223288525309</v>
      </c>
      <c r="F379" s="31">
        <v>854311.19</v>
      </c>
      <c r="G379" s="81">
        <v>115.75</v>
      </c>
      <c r="H379" s="37">
        <v>5136.3720000000003</v>
      </c>
      <c r="I379" s="14"/>
      <c r="J379" s="14"/>
    </row>
    <row r="380" spans="1:10" s="15" customFormat="1" ht="17.25" customHeight="1">
      <c r="A380" s="79">
        <v>41444</v>
      </c>
      <c r="B380" s="71">
        <v>138.95189999999999</v>
      </c>
      <c r="C380" s="67">
        <f t="shared" ref="C380:C386" si="276">0.997*B380</f>
        <v>138.53504429999998</v>
      </c>
      <c r="D380" s="67">
        <f t="shared" si="275"/>
        <v>139.36875569999998</v>
      </c>
      <c r="E380" s="81">
        <f>5310.95/4893.543*100</f>
        <v>108.52975032609298</v>
      </c>
      <c r="F380" s="31">
        <v>836786.9</v>
      </c>
      <c r="G380" s="81">
        <v>117.86</v>
      </c>
      <c r="H380" s="37">
        <v>5310.95</v>
      </c>
      <c r="I380" s="14"/>
      <c r="J380" s="14"/>
    </row>
    <row r="381" spans="1:10" s="15" customFormat="1" ht="17.25" customHeight="1">
      <c r="A381" s="79">
        <v>41437</v>
      </c>
      <c r="B381" s="71">
        <v>138.6283</v>
      </c>
      <c r="C381" s="67">
        <f t="shared" si="276"/>
        <v>138.21241509999999</v>
      </c>
      <c r="D381" s="67">
        <f t="shared" si="275"/>
        <v>139.04418489999998</v>
      </c>
      <c r="E381" s="81">
        <f>5247.827/4893.543*100</f>
        <v>107.23982603197726</v>
      </c>
      <c r="F381" s="31">
        <v>813690.5</v>
      </c>
      <c r="G381" s="81">
        <v>114.37</v>
      </c>
      <c r="H381" s="37">
        <v>5247.8270000000002</v>
      </c>
      <c r="I381" s="14"/>
      <c r="J381" s="14"/>
    </row>
    <row r="382" spans="1:10" s="15" customFormat="1" ht="17.25" customHeight="1">
      <c r="A382" s="79">
        <v>41430</v>
      </c>
      <c r="B382" s="71">
        <v>139.5462</v>
      </c>
      <c r="C382" s="67">
        <f t="shared" si="276"/>
        <v>139.12756139999999</v>
      </c>
      <c r="D382" s="67">
        <f t="shared" si="275"/>
        <v>139.96483859999998</v>
      </c>
      <c r="E382" s="81">
        <f>5220.751/4893.543*100</f>
        <v>106.68652548879207</v>
      </c>
      <c r="F382" s="31">
        <v>838832.19</v>
      </c>
      <c r="G382" s="81">
        <v>118.51</v>
      </c>
      <c r="H382" s="37">
        <v>5220.7510000000002</v>
      </c>
      <c r="I382" s="14"/>
      <c r="J382" s="14"/>
    </row>
    <row r="383" spans="1:10" s="15" customFormat="1" ht="17.25" customHeight="1">
      <c r="A383" s="79">
        <v>41423</v>
      </c>
      <c r="B383" s="71">
        <v>142.16739999999999</v>
      </c>
      <c r="C383" s="67">
        <f t="shared" si="276"/>
        <v>141.7408978</v>
      </c>
      <c r="D383" s="67">
        <f t="shared" si="275"/>
        <v>142.59390219999997</v>
      </c>
      <c r="E383" s="81">
        <f>5355.662/4893.543*100</f>
        <v>109.44344414670518</v>
      </c>
      <c r="F383" s="31">
        <v>838130.9</v>
      </c>
      <c r="G383" s="81">
        <v>120.75</v>
      </c>
      <c r="H383" s="37">
        <v>5355.6620000000003</v>
      </c>
      <c r="I383" s="14"/>
      <c r="J383" s="14"/>
    </row>
    <row r="384" spans="1:10" s="15" customFormat="1" ht="17.25" customHeight="1">
      <c r="A384" s="79">
        <v>41416</v>
      </c>
      <c r="B384" s="71">
        <v>145.1628</v>
      </c>
      <c r="C384" s="67">
        <f t="shared" si="276"/>
        <v>144.72731160000001</v>
      </c>
      <c r="D384" s="67">
        <f t="shared" si="275"/>
        <v>145.5982884</v>
      </c>
      <c r="E384" s="81">
        <f>5437.728/4893.543*100</f>
        <v>111.12047038311505</v>
      </c>
      <c r="F384" s="31">
        <v>838130.9</v>
      </c>
      <c r="G384" s="81">
        <v>123.29</v>
      </c>
      <c r="H384" s="37">
        <v>5437.7280000000001</v>
      </c>
      <c r="I384" s="14"/>
      <c r="J384" s="14"/>
    </row>
    <row r="385" spans="1:10" s="15" customFormat="1" ht="17.25" customHeight="1">
      <c r="A385" s="79">
        <v>41409</v>
      </c>
      <c r="B385" s="71">
        <v>144.92949999999999</v>
      </c>
      <c r="C385" s="67">
        <f t="shared" si="276"/>
        <v>144.49471149999999</v>
      </c>
      <c r="D385" s="67">
        <f t="shared" ref="D385:D390" si="277">1.003*B385</f>
        <v>145.36428849999999</v>
      </c>
      <c r="E385" s="81">
        <f>5426.304/4893.543*100</f>
        <v>110.88701989540095</v>
      </c>
      <c r="F385" s="31">
        <v>839515.03</v>
      </c>
      <c r="G385" s="81">
        <v>123.29</v>
      </c>
      <c r="H385" s="37">
        <v>5426.3040000000001</v>
      </c>
      <c r="I385" s="14"/>
      <c r="J385" s="14"/>
    </row>
    <row r="386" spans="1:10" s="15" customFormat="1" ht="17.25" customHeight="1">
      <c r="A386" s="79">
        <v>41402</v>
      </c>
      <c r="B386" s="71">
        <v>145.19640000000001</v>
      </c>
      <c r="C386" s="67">
        <f t="shared" si="276"/>
        <v>144.7608108</v>
      </c>
      <c r="D386" s="67">
        <f t="shared" si="277"/>
        <v>145.63198919999999</v>
      </c>
      <c r="E386" s="81">
        <f>5392.412/4893.543*100</f>
        <v>110.19443376710905</v>
      </c>
      <c r="F386" s="31">
        <v>837935.69</v>
      </c>
      <c r="G386" s="81">
        <v>123.28</v>
      </c>
      <c r="H386" s="37">
        <v>5392.4120000000003</v>
      </c>
      <c r="I386" s="14"/>
      <c r="J386" s="14"/>
    </row>
    <row r="387" spans="1:10" s="15" customFormat="1" ht="17.25" customHeight="1">
      <c r="A387" s="79">
        <v>41395</v>
      </c>
      <c r="B387" s="71">
        <v>141.64506800000001</v>
      </c>
      <c r="C387" s="67">
        <f t="shared" ref="C387:C393" si="278">0.997*B387</f>
        <v>141.220132796</v>
      </c>
      <c r="D387" s="67">
        <f t="shared" si="277"/>
        <v>142.07000320399999</v>
      </c>
      <c r="E387" s="81">
        <f>5253.514/4893.543*100</f>
        <v>107.35604039854152</v>
      </c>
      <c r="F387" s="31">
        <v>836299</v>
      </c>
      <c r="G387" s="81">
        <v>120.02800000000001</v>
      </c>
      <c r="H387" s="37">
        <v>5253.5140000000001</v>
      </c>
      <c r="I387" s="14"/>
      <c r="J387" s="14"/>
    </row>
    <row r="388" spans="1:10" ht="17.25" customHeight="1">
      <c r="A388" s="79">
        <v>41388</v>
      </c>
      <c r="B388" s="71">
        <v>140.73487700000001</v>
      </c>
      <c r="C388" s="67">
        <f t="shared" si="278"/>
        <v>140.31267236900001</v>
      </c>
      <c r="D388" s="67">
        <f t="shared" si="277"/>
        <v>141.15708163099998</v>
      </c>
      <c r="E388" s="81">
        <f>5192.189/4893.543*100</f>
        <v>106.10285839932337</v>
      </c>
      <c r="F388" s="31">
        <v>847714</v>
      </c>
      <c r="G388" s="81">
        <v>120.85599999999999</v>
      </c>
      <c r="H388" s="37">
        <v>5192.1890000000003</v>
      </c>
      <c r="I388" s="4"/>
      <c r="J388" s="4"/>
    </row>
    <row r="389" spans="1:10" s="15" customFormat="1" ht="17.25" customHeight="1">
      <c r="A389" s="79">
        <v>41381</v>
      </c>
      <c r="B389" s="71">
        <v>136.9248</v>
      </c>
      <c r="C389" s="67">
        <f t="shared" si="278"/>
        <v>136.5140256</v>
      </c>
      <c r="D389" s="67">
        <f t="shared" si="277"/>
        <v>137.33557439999998</v>
      </c>
      <c r="E389" s="81">
        <f>5081.148/4893.543*100</f>
        <v>103.83372538056783</v>
      </c>
      <c r="F389" s="31">
        <v>858774.87</v>
      </c>
      <c r="G389" s="81">
        <v>119.09</v>
      </c>
      <c r="H389" s="37">
        <v>5081.1480000000001</v>
      </c>
      <c r="I389" s="14"/>
      <c r="J389" s="14"/>
    </row>
    <row r="390" spans="1:10" s="15" customFormat="1" ht="17.25" customHeight="1">
      <c r="A390" s="79">
        <v>41374</v>
      </c>
      <c r="B390" s="71">
        <v>142.8169</v>
      </c>
      <c r="C390" s="67">
        <f t="shared" si="278"/>
        <v>142.38844929999999</v>
      </c>
      <c r="D390" s="67">
        <f t="shared" si="277"/>
        <v>143.24535069999999</v>
      </c>
      <c r="E390" s="81">
        <f>5190.786/4893.543*100</f>
        <v>106.07418796565189</v>
      </c>
      <c r="F390" s="31">
        <v>857937.14</v>
      </c>
      <c r="G390" s="81">
        <v>124.08</v>
      </c>
      <c r="H390" s="37">
        <v>5190.7860000000001</v>
      </c>
      <c r="I390" s="14"/>
      <c r="J390" s="14"/>
    </row>
    <row r="391" spans="1:10" s="15" customFormat="1" ht="17.25" customHeight="1">
      <c r="A391" s="79">
        <v>41367</v>
      </c>
      <c r="B391" s="71">
        <v>139.2287</v>
      </c>
      <c r="C391" s="67">
        <f t="shared" si="278"/>
        <v>138.81101390000001</v>
      </c>
      <c r="D391" s="67">
        <f t="shared" ref="D391:D396" si="279">1.003*B391</f>
        <v>139.6463861</v>
      </c>
      <c r="E391" s="81">
        <f>5091.928/4893.543*100</f>
        <v>104.05401566921964</v>
      </c>
      <c r="F391" s="31">
        <v>857937.14</v>
      </c>
      <c r="G391" s="81">
        <v>120.96</v>
      </c>
      <c r="H391" s="37">
        <v>5091.9279999999999</v>
      </c>
      <c r="I391" s="14"/>
      <c r="J391" s="14"/>
    </row>
    <row r="392" spans="1:10" s="15" customFormat="1" ht="17.25" customHeight="1">
      <c r="A392" s="79">
        <v>41360</v>
      </c>
      <c r="B392" s="71">
        <v>141.726</v>
      </c>
      <c r="C392" s="67">
        <f t="shared" si="278"/>
        <v>141.30082200000001</v>
      </c>
      <c r="D392" s="67">
        <f t="shared" si="279"/>
        <v>142.15117799999999</v>
      </c>
      <c r="E392" s="81">
        <f>5102.491/4893.543*100</f>
        <v>104.26987154297001</v>
      </c>
      <c r="F392" s="31">
        <v>857937.14</v>
      </c>
      <c r="G392" s="81">
        <v>123.12</v>
      </c>
      <c r="H392" s="37">
        <v>5102.491</v>
      </c>
      <c r="I392" s="14"/>
      <c r="J392" s="14"/>
    </row>
    <row r="393" spans="1:10" s="15" customFormat="1" ht="17.25" customHeight="1">
      <c r="A393" s="79">
        <v>41353</v>
      </c>
      <c r="B393" s="71">
        <v>140.2894</v>
      </c>
      <c r="C393" s="67">
        <f t="shared" si="278"/>
        <v>139.8685318</v>
      </c>
      <c r="D393" s="67">
        <f t="shared" si="279"/>
        <v>140.71026819999997</v>
      </c>
      <c r="E393" s="81">
        <f>5115.143/4893.543*100</f>
        <v>104.52841632330605</v>
      </c>
      <c r="F393" s="31">
        <v>857226.46</v>
      </c>
      <c r="G393" s="81">
        <v>121.77</v>
      </c>
      <c r="H393" s="37">
        <v>5115.143</v>
      </c>
      <c r="I393" s="14"/>
      <c r="J393" s="14"/>
    </row>
    <row r="394" spans="1:10" s="15" customFormat="1" ht="17.25" customHeight="1">
      <c r="A394" s="79">
        <v>41346</v>
      </c>
      <c r="B394" s="71">
        <v>139.53059999999999</v>
      </c>
      <c r="C394" s="67">
        <f t="shared" ref="C394:C400" si="280">0.997*B394</f>
        <v>139.11200819999999</v>
      </c>
      <c r="D394" s="67">
        <f t="shared" si="279"/>
        <v>139.94919179999997</v>
      </c>
      <c r="E394" s="81">
        <f>5097.035/4893.543*100</f>
        <v>104.15837768259112</v>
      </c>
      <c r="F394" s="31">
        <v>857226.46</v>
      </c>
      <c r="G394" s="81">
        <v>121.1</v>
      </c>
      <c r="H394" s="37">
        <v>5097.0349999999999</v>
      </c>
      <c r="I394" s="14"/>
      <c r="J394" s="14"/>
    </row>
    <row r="395" spans="1:10" s="15" customFormat="1" ht="17.25" customHeight="1">
      <c r="A395" s="79">
        <v>41339</v>
      </c>
      <c r="B395" s="71">
        <v>139.2877</v>
      </c>
      <c r="C395" s="67">
        <f t="shared" si="280"/>
        <v>138.8698369</v>
      </c>
      <c r="D395" s="67">
        <f t="shared" si="279"/>
        <v>139.70556309999998</v>
      </c>
      <c r="E395" s="81">
        <f>5065.975/4893.543*100</f>
        <v>103.52366373402666</v>
      </c>
      <c r="F395" s="31">
        <v>857226.46</v>
      </c>
      <c r="G395" s="81">
        <v>120.88</v>
      </c>
      <c r="H395" s="37">
        <v>5065.9750000000004</v>
      </c>
      <c r="I395" s="14"/>
      <c r="J395" s="14"/>
    </row>
    <row r="396" spans="1:10" s="15" customFormat="1" ht="17.25" customHeight="1">
      <c r="A396" s="79">
        <v>41332</v>
      </c>
      <c r="B396" s="71">
        <v>137.6079</v>
      </c>
      <c r="C396" s="67">
        <f t="shared" si="280"/>
        <v>137.19507630000001</v>
      </c>
      <c r="D396" s="67">
        <f t="shared" si="279"/>
        <v>138.02072369999999</v>
      </c>
      <c r="E396" s="81">
        <f>4982.09/4893.543*100</f>
        <v>101.80946606579325</v>
      </c>
      <c r="F396" s="31">
        <v>856139.67</v>
      </c>
      <c r="G396" s="81">
        <v>119.27</v>
      </c>
      <c r="H396" s="37">
        <v>4982.09</v>
      </c>
      <c r="I396" s="14"/>
      <c r="J396" s="14"/>
    </row>
    <row r="397" spans="1:10" s="15" customFormat="1" ht="17.25" customHeight="1">
      <c r="A397" s="79">
        <v>41325</v>
      </c>
      <c r="B397" s="71">
        <v>139.3219</v>
      </c>
      <c r="C397" s="67">
        <f t="shared" si="280"/>
        <v>138.9039343</v>
      </c>
      <c r="D397" s="67">
        <f t="shared" ref="D397:D402" si="281">1.003*B397</f>
        <v>139.7398657</v>
      </c>
      <c r="E397" s="81">
        <f>5015.771/4893.543*100</f>
        <v>102.49774038973398</v>
      </c>
      <c r="F397" s="31">
        <v>855424.06</v>
      </c>
      <c r="G397" s="81">
        <v>120.65</v>
      </c>
      <c r="H397" s="37">
        <v>5015.7709999999997</v>
      </c>
      <c r="I397" s="14"/>
      <c r="J397" s="14"/>
    </row>
    <row r="398" spans="1:10" s="15" customFormat="1" ht="17.25" customHeight="1">
      <c r="A398" s="79">
        <v>41318</v>
      </c>
      <c r="B398" s="71">
        <v>140.6788</v>
      </c>
      <c r="C398" s="67">
        <f t="shared" si="280"/>
        <v>140.2567636</v>
      </c>
      <c r="D398" s="67">
        <f t="shared" si="281"/>
        <v>141.10083639999999</v>
      </c>
      <c r="E398" s="81">
        <f>5026.67/4893.543*100</f>
        <v>102.72046245429949</v>
      </c>
      <c r="F398" s="31">
        <v>855424.06</v>
      </c>
      <c r="G398" s="81">
        <v>121.82</v>
      </c>
      <c r="H398" s="37">
        <v>5026.67</v>
      </c>
      <c r="I398" s="14"/>
      <c r="J398" s="14"/>
    </row>
    <row r="399" spans="1:10" s="15" customFormat="1" ht="17.25" customHeight="1">
      <c r="A399" s="79">
        <v>41311</v>
      </c>
      <c r="B399" s="71">
        <v>140.70099999999999</v>
      </c>
      <c r="C399" s="67">
        <f t="shared" si="280"/>
        <v>140.278897</v>
      </c>
      <c r="D399" s="67">
        <f t="shared" si="281"/>
        <v>141.12310299999999</v>
      </c>
      <c r="E399" s="81">
        <f>5003.215/4893.543*100</f>
        <v>102.24115737820227</v>
      </c>
      <c r="F399" s="31">
        <v>853865.13</v>
      </c>
      <c r="G399" s="81">
        <v>121.61</v>
      </c>
      <c r="H399" s="37">
        <v>5003.2150000000001</v>
      </c>
      <c r="I399" s="14"/>
      <c r="J399" s="14"/>
    </row>
    <row r="400" spans="1:10" s="15" customFormat="1" ht="17.25" customHeight="1">
      <c r="A400" s="79">
        <v>41304</v>
      </c>
      <c r="B400" s="71">
        <v>139.97790000000001</v>
      </c>
      <c r="C400" s="67">
        <f t="shared" si="280"/>
        <v>139.5579663</v>
      </c>
      <c r="D400" s="67">
        <f t="shared" si="281"/>
        <v>140.39783369999998</v>
      </c>
      <c r="E400" s="81">
        <f>5006.115/4893.543*100</f>
        <v>102.3004191441661</v>
      </c>
      <c r="F400" s="31">
        <v>852527</v>
      </c>
      <c r="G400" s="81">
        <v>120.79</v>
      </c>
      <c r="H400" s="37">
        <v>5006.1149999999998</v>
      </c>
      <c r="I400" s="14"/>
      <c r="J400" s="14"/>
    </row>
    <row r="401" spans="1:10" ht="17.25" customHeight="1">
      <c r="A401" s="79">
        <v>41297</v>
      </c>
      <c r="B401" s="71">
        <v>139.3032</v>
      </c>
      <c r="C401" s="67">
        <f t="shared" ref="C401:C407" si="282">0.997*B401</f>
        <v>138.8852904</v>
      </c>
      <c r="D401" s="67">
        <f t="shared" si="281"/>
        <v>139.72110959999998</v>
      </c>
      <c r="E401" s="81">
        <f>4945.984/4893.543*100</f>
        <v>101.07163664445169</v>
      </c>
      <c r="F401" s="31">
        <v>852415.5</v>
      </c>
      <c r="G401" s="81">
        <v>120.18</v>
      </c>
      <c r="H401" s="37">
        <v>4945.9840000000004</v>
      </c>
      <c r="I401" s="4"/>
      <c r="J401" s="4"/>
    </row>
    <row r="402" spans="1:10" s="15" customFormat="1" ht="17.25" customHeight="1">
      <c r="A402" s="79">
        <v>41290</v>
      </c>
      <c r="B402" s="71">
        <v>138.5401</v>
      </c>
      <c r="C402" s="67">
        <f t="shared" si="282"/>
        <v>138.12447969999999</v>
      </c>
      <c r="D402" s="67">
        <f t="shared" si="281"/>
        <v>138.95572029999997</v>
      </c>
      <c r="E402" s="81">
        <f>4895.249/4893.543*100</f>
        <v>100.0348622664601</v>
      </c>
      <c r="F402" s="31">
        <v>852415.5</v>
      </c>
      <c r="G402" s="81">
        <v>119.52</v>
      </c>
      <c r="H402" s="37">
        <v>4895.2489999999998</v>
      </c>
      <c r="I402" s="14"/>
      <c r="J402" s="14"/>
    </row>
    <row r="403" spans="1:10" s="15" customFormat="1" ht="17.25" customHeight="1">
      <c r="A403" s="79">
        <v>41283</v>
      </c>
      <c r="B403" s="71">
        <v>136.7165</v>
      </c>
      <c r="C403" s="67">
        <f t="shared" si="282"/>
        <v>136.30635050000001</v>
      </c>
      <c r="D403" s="67">
        <f t="shared" ref="D403:D408" si="283">1.003*B403</f>
        <v>137.12664949999998</v>
      </c>
      <c r="E403" s="81">
        <f>4852.112/4893.543*100</f>
        <v>99.153353715293818</v>
      </c>
      <c r="F403" s="31">
        <v>851642.49</v>
      </c>
      <c r="G403" s="81">
        <v>117.83</v>
      </c>
      <c r="H403" s="37">
        <v>4852.1120000000001</v>
      </c>
      <c r="I403" s="14"/>
      <c r="J403" s="14"/>
    </row>
    <row r="404" spans="1:10" s="15" customFormat="1" ht="17.25" customHeight="1">
      <c r="A404" s="79">
        <v>41276</v>
      </c>
      <c r="B404" s="71">
        <v>136.71879999999999</v>
      </c>
      <c r="C404" s="67">
        <f t="shared" si="282"/>
        <v>136.30864359999998</v>
      </c>
      <c r="D404" s="67">
        <f t="shared" si="283"/>
        <v>137.12895639999996</v>
      </c>
      <c r="E404" s="81">
        <f>4851.818/4893.543*100</f>
        <v>99.147345798330591</v>
      </c>
      <c r="F404" s="31">
        <v>852522.85</v>
      </c>
      <c r="G404" s="81">
        <v>117.95</v>
      </c>
      <c r="H404" s="37">
        <v>4851.8180000000002</v>
      </c>
      <c r="I404" s="14"/>
      <c r="J404" s="14"/>
    </row>
    <row r="405" spans="1:10" s="15" customFormat="1" ht="17.25" customHeight="1">
      <c r="A405" s="79">
        <v>41274</v>
      </c>
      <c r="B405" s="71">
        <v>134.93340000000001</v>
      </c>
      <c r="C405" s="67">
        <f t="shared" si="282"/>
        <v>134.52859979999999</v>
      </c>
      <c r="D405" s="67">
        <f t="shared" si="283"/>
        <v>135.33820019999999</v>
      </c>
      <c r="E405" s="81">
        <f>4748.699/4893.543*100</f>
        <v>97.040099576114898</v>
      </c>
      <c r="F405" s="31">
        <v>852522.85</v>
      </c>
      <c r="G405" s="37">
        <v>116.41</v>
      </c>
      <c r="H405" s="37">
        <v>4748.6989999999996</v>
      </c>
      <c r="I405" s="14"/>
      <c r="J405" s="14"/>
    </row>
    <row r="406" spans="1:10" s="15" customFormat="1" ht="17.25" customHeight="1">
      <c r="A406" s="79">
        <v>41269</v>
      </c>
      <c r="B406" s="71">
        <v>133.6326</v>
      </c>
      <c r="C406" s="67">
        <f t="shared" si="282"/>
        <v>133.2317022</v>
      </c>
      <c r="D406" s="67">
        <f t="shared" si="283"/>
        <v>134.03349779999999</v>
      </c>
      <c r="E406" s="81">
        <f>4738.626/4893.543*100</f>
        <v>96.834256897303248</v>
      </c>
      <c r="F406" s="31">
        <v>852522.85</v>
      </c>
      <c r="G406" s="81">
        <v>115.28</v>
      </c>
      <c r="H406" s="37">
        <v>4738.6260000000002</v>
      </c>
      <c r="I406" s="14"/>
      <c r="J406" s="14"/>
    </row>
    <row r="407" spans="1:10" s="15" customFormat="1" ht="17.25" customHeight="1">
      <c r="A407" s="79">
        <v>41262</v>
      </c>
      <c r="B407" s="71">
        <v>134.17339999999999</v>
      </c>
      <c r="C407" s="67">
        <f t="shared" si="282"/>
        <v>133.77087979999999</v>
      </c>
      <c r="D407" s="67">
        <f t="shared" si="283"/>
        <v>134.57592019999998</v>
      </c>
      <c r="E407" s="81">
        <f>4782.207/4893.543*100</f>
        <v>97.724838629189534</v>
      </c>
      <c r="F407" s="31">
        <v>851408.23</v>
      </c>
      <c r="G407" s="81">
        <v>115.59</v>
      </c>
      <c r="H407" s="37">
        <v>4782.2070000000003</v>
      </c>
      <c r="I407" s="14"/>
      <c r="J407" s="14"/>
    </row>
    <row r="408" spans="1:10" s="15" customFormat="1" ht="17.25" customHeight="1">
      <c r="A408" s="79">
        <v>41255</v>
      </c>
      <c r="B408" s="71">
        <v>134.08690000000001</v>
      </c>
      <c r="C408" s="67">
        <f t="shared" ref="C408:C414" si="284">0.997*B408</f>
        <v>133.68463930000001</v>
      </c>
      <c r="D408" s="67">
        <f t="shared" si="283"/>
        <v>134.48916070000001</v>
      </c>
      <c r="E408" s="81">
        <f>4721.584/4893.543*100</f>
        <v>96.486002064352974</v>
      </c>
      <c r="F408" s="31">
        <v>853394.03</v>
      </c>
      <c r="G408" s="81">
        <v>115.77</v>
      </c>
      <c r="H408" s="37">
        <v>4721.5839999999998</v>
      </c>
      <c r="I408" s="14"/>
      <c r="J408" s="14"/>
    </row>
    <row r="409" spans="1:10" s="15" customFormat="1" ht="17.25" customHeight="1">
      <c r="A409" s="79">
        <v>41248</v>
      </c>
      <c r="B409" s="71">
        <v>131.81809999999999</v>
      </c>
      <c r="C409" s="67">
        <f t="shared" si="284"/>
        <v>131.42264569999998</v>
      </c>
      <c r="D409" s="67">
        <f t="shared" ref="D409:D414" si="285">1.003*B409</f>
        <v>132.21355429999997</v>
      </c>
      <c r="E409" s="81">
        <f>4659.52/4893.543*100</f>
        <v>95.21771853235991</v>
      </c>
      <c r="F409" s="31">
        <v>853394.03</v>
      </c>
      <c r="G409" s="81">
        <v>113.81</v>
      </c>
      <c r="H409" s="37">
        <v>4659.5200000000004</v>
      </c>
      <c r="I409" s="14"/>
      <c r="J409" s="14"/>
    </row>
    <row r="410" spans="1:10" s="15" customFormat="1" ht="17.25" customHeight="1">
      <c r="A410" s="79">
        <v>41241</v>
      </c>
      <c r="B410" s="71">
        <v>131.9537</v>
      </c>
      <c r="C410" s="67">
        <f t="shared" si="284"/>
        <v>131.55783890000001</v>
      </c>
      <c r="D410" s="67">
        <f t="shared" si="285"/>
        <v>132.34956109999999</v>
      </c>
      <c r="E410" s="81">
        <f>4616.78/4893.543*100</f>
        <v>94.34432271260313</v>
      </c>
      <c r="F410" s="31">
        <v>878394.03</v>
      </c>
      <c r="G410" s="81">
        <v>117.22</v>
      </c>
      <c r="H410" s="37">
        <v>4616.78</v>
      </c>
      <c r="I410" s="14"/>
      <c r="J410" s="14"/>
    </row>
    <row r="411" spans="1:10" s="15" customFormat="1" ht="17.25" customHeight="1">
      <c r="A411" s="79">
        <v>41234</v>
      </c>
      <c r="B411" s="71">
        <v>130.5394</v>
      </c>
      <c r="C411" s="67">
        <f t="shared" si="284"/>
        <v>130.14778179999999</v>
      </c>
      <c r="D411" s="67">
        <f t="shared" si="285"/>
        <v>130.93101819999998</v>
      </c>
      <c r="E411" s="81">
        <f>4545.902/4893.543*100</f>
        <v>92.895924282263394</v>
      </c>
      <c r="F411" s="31">
        <v>878394.03</v>
      </c>
      <c r="G411" s="81">
        <v>115.96</v>
      </c>
      <c r="H411" s="37">
        <v>4545.902</v>
      </c>
      <c r="I411" s="14"/>
      <c r="J411" s="14"/>
    </row>
    <row r="412" spans="1:10" s="15" customFormat="1" ht="17.25" customHeight="1">
      <c r="A412" s="84">
        <v>41227</v>
      </c>
      <c r="B412" s="85">
        <v>128.42240000000001</v>
      </c>
      <c r="C412" s="82">
        <f t="shared" si="284"/>
        <v>128.03713280000002</v>
      </c>
      <c r="D412" s="82">
        <f t="shared" si="285"/>
        <v>128.8076672</v>
      </c>
      <c r="E412" s="81">
        <f>4447.697/4893.543*100</f>
        <v>90.889096100718859</v>
      </c>
      <c r="F412" s="86">
        <v>882369.44</v>
      </c>
      <c r="G412" s="80">
        <v>114.58</v>
      </c>
      <c r="H412" s="83">
        <v>4447.6970000000001</v>
      </c>
      <c r="I412" s="14"/>
      <c r="J412" s="14"/>
    </row>
    <row r="413" spans="1:10" s="15" customFormat="1" ht="17.25" customHeight="1">
      <c r="A413" s="79">
        <v>41220</v>
      </c>
      <c r="B413" s="71">
        <v>130.55549999999999</v>
      </c>
      <c r="C413" s="67">
        <f t="shared" si="284"/>
        <v>130.16383349999998</v>
      </c>
      <c r="D413" s="67">
        <f t="shared" si="285"/>
        <v>130.94716649999998</v>
      </c>
      <c r="E413" s="81">
        <f>4556.664/4893.543*100</f>
        <v>93.11584673926437</v>
      </c>
      <c r="F413" s="31">
        <v>882369.44</v>
      </c>
      <c r="G413" s="81">
        <v>116.48</v>
      </c>
      <c r="H413" s="37">
        <v>4556.6639999999998</v>
      </c>
      <c r="I413" s="14"/>
      <c r="J413" s="14"/>
    </row>
    <row r="414" spans="1:10" s="15" customFormat="1" ht="17.25" customHeight="1">
      <c r="A414" s="35">
        <v>41213</v>
      </c>
      <c r="B414" s="68">
        <v>130.45721677010806</v>
      </c>
      <c r="C414" s="67">
        <f t="shared" si="284"/>
        <v>130.06584511979773</v>
      </c>
      <c r="D414" s="67">
        <f t="shared" si="285"/>
        <v>130.84858842041837</v>
      </c>
      <c r="E414" s="81">
        <f>4597.231/4893.543*100</f>
        <v>93.944837104731675</v>
      </c>
      <c r="F414" s="34">
        <v>882369.44</v>
      </c>
      <c r="G414" s="37">
        <v>116.38</v>
      </c>
      <c r="H414" s="37">
        <v>4597.2309999999998</v>
      </c>
      <c r="I414" s="14"/>
      <c r="J414" s="14"/>
    </row>
    <row r="415" spans="1:10" ht="17.25" customHeight="1">
      <c r="A415" s="35">
        <v>41206</v>
      </c>
      <c r="B415" s="68">
        <v>129.7585</v>
      </c>
      <c r="C415" s="67">
        <f t="shared" ref="C415:C421" si="286">0.997*B415</f>
        <v>129.3692245</v>
      </c>
      <c r="D415" s="67">
        <f t="shared" ref="D415:D420" si="287">1.003*B415</f>
        <v>130.14777549999999</v>
      </c>
      <c r="E415" s="81">
        <f>4586.889/4893.543*100</f>
        <v>93.73349738624961</v>
      </c>
      <c r="F415" s="34">
        <v>882369.44</v>
      </c>
      <c r="G415" s="78">
        <v>115.75</v>
      </c>
      <c r="H415" s="37">
        <v>4586.8890000000001</v>
      </c>
      <c r="I415" s="4"/>
      <c r="J415" s="4"/>
    </row>
    <row r="416" spans="1:10" s="15" customFormat="1" ht="17.25" customHeight="1">
      <c r="A416" s="35">
        <v>41199</v>
      </c>
      <c r="B416" s="68">
        <v>132.38810000000001</v>
      </c>
      <c r="C416" s="67">
        <f t="shared" si="286"/>
        <v>131.99093569999999</v>
      </c>
      <c r="D416" s="67">
        <f t="shared" si="287"/>
        <v>132.78526429999999</v>
      </c>
      <c r="E416" s="81">
        <f>4730.303/4893.543*100</f>
        <v>96.66417562898701</v>
      </c>
      <c r="F416" s="34">
        <v>838700.6</v>
      </c>
      <c r="G416" s="37">
        <f t="shared" ref="G416:G481" si="288">F416*B416/1000000</f>
        <v>111.03397890286</v>
      </c>
      <c r="H416" s="37">
        <v>4730.3029999999999</v>
      </c>
      <c r="I416" s="14"/>
      <c r="J416" s="14"/>
    </row>
    <row r="417" spans="1:10" s="15" customFormat="1" ht="17.25" customHeight="1">
      <c r="A417" s="35">
        <v>41192</v>
      </c>
      <c r="B417" s="68">
        <v>129.75919999999999</v>
      </c>
      <c r="C417" s="67">
        <f t="shared" si="286"/>
        <v>129.36992239999998</v>
      </c>
      <c r="D417" s="67">
        <f t="shared" si="287"/>
        <v>130.14847759999998</v>
      </c>
      <c r="E417" s="81">
        <f>4607.223/4893.543*100</f>
        <v>94.149024541114684</v>
      </c>
      <c r="F417" s="34">
        <v>772476.35</v>
      </c>
      <c r="G417" s="37">
        <f t="shared" si="288"/>
        <v>100.23591319491999</v>
      </c>
      <c r="H417" s="37">
        <v>4607.223</v>
      </c>
      <c r="I417" s="14"/>
      <c r="J417" s="14"/>
    </row>
    <row r="418" spans="1:10" s="15" customFormat="1" ht="17.25" customHeight="1">
      <c r="A418" s="35">
        <v>41185</v>
      </c>
      <c r="B418" s="68">
        <v>130.5549</v>
      </c>
      <c r="C418" s="67">
        <f t="shared" si="286"/>
        <v>130.1632353</v>
      </c>
      <c r="D418" s="67">
        <f t="shared" si="287"/>
        <v>130.94656469999998</v>
      </c>
      <c r="E418" s="81">
        <f>4654.442/4893.543*100</f>
        <v>95.113949136648031</v>
      </c>
      <c r="F418" s="34">
        <v>760295.81</v>
      </c>
      <c r="G418" s="37">
        <f t="shared" si="288"/>
        <v>99.26034344496901</v>
      </c>
      <c r="H418" s="37">
        <v>4654.442</v>
      </c>
      <c r="I418" s="14"/>
      <c r="J418" s="14"/>
    </row>
    <row r="419" spans="1:10" s="15" customFormat="1" ht="17.25" customHeight="1">
      <c r="A419" s="35">
        <v>41180</v>
      </c>
      <c r="B419" s="68">
        <v>130.8922</v>
      </c>
      <c r="C419" s="67">
        <f t="shared" si="286"/>
        <v>130.49952340000002</v>
      </c>
      <c r="D419" s="67">
        <f t="shared" si="287"/>
        <v>131.28487659999999</v>
      </c>
      <c r="E419" s="81">
        <f>4627.184/4893.543*100</f>
        <v>94.556929406771346</v>
      </c>
      <c r="F419" s="34">
        <v>760296</v>
      </c>
      <c r="G419" s="37">
        <f t="shared" si="288"/>
        <v>99.516816091200013</v>
      </c>
      <c r="H419" s="37">
        <v>4627.1840000000002</v>
      </c>
      <c r="I419" s="14"/>
      <c r="J419" s="14"/>
    </row>
    <row r="420" spans="1:10" s="15" customFormat="1" ht="17.25" customHeight="1">
      <c r="A420" s="35">
        <v>41178</v>
      </c>
      <c r="B420" s="68">
        <v>130.3732</v>
      </c>
      <c r="C420" s="67">
        <f t="shared" si="286"/>
        <v>129.9820804</v>
      </c>
      <c r="D420" s="67">
        <f t="shared" si="287"/>
        <v>130.76431959999999</v>
      </c>
      <c r="E420" s="81">
        <f>4619.359/4893.543*100</f>
        <v>94.397024814127533</v>
      </c>
      <c r="F420" s="34">
        <v>760295.81</v>
      </c>
      <c r="G420" s="37">
        <f t="shared" si="288"/>
        <v>99.122197696291991</v>
      </c>
      <c r="H420" s="37">
        <v>4619.3590000000004</v>
      </c>
      <c r="I420" s="14"/>
      <c r="J420" s="14"/>
    </row>
    <row r="421" spans="1:10" s="15" customFormat="1" ht="17.25" customHeight="1">
      <c r="A421" s="35">
        <v>41171</v>
      </c>
      <c r="B421" s="68">
        <v>133.1978</v>
      </c>
      <c r="C421" s="67">
        <f t="shared" si="286"/>
        <v>132.79820660000001</v>
      </c>
      <c r="D421" s="67">
        <f t="shared" ref="D421:D426" si="289">1.003*B421</f>
        <v>133.59739339999999</v>
      </c>
      <c r="E421" s="81">
        <f>4725.856/4893.543*100</f>
        <v>96.573300776145217</v>
      </c>
      <c r="F421" s="34">
        <v>760295.81</v>
      </c>
      <c r="G421" s="37">
        <f t="shared" si="288"/>
        <v>101.269729241218</v>
      </c>
      <c r="H421" s="37">
        <v>4725.8559999999998</v>
      </c>
      <c r="I421" s="14"/>
      <c r="J421" s="14"/>
    </row>
    <row r="422" spans="1:10" s="15" customFormat="1" ht="17.25" customHeight="1">
      <c r="A422" s="35">
        <v>41164</v>
      </c>
      <c r="B422" s="68">
        <v>130.28710000000001</v>
      </c>
      <c r="C422" s="67">
        <f t="shared" ref="C422:C428" si="290">0.997*B422</f>
        <v>129.8962387</v>
      </c>
      <c r="D422" s="67">
        <f t="shared" si="289"/>
        <v>130.67796129999999</v>
      </c>
      <c r="E422" s="81">
        <f>4637.567/4893.543*100</f>
        <v>94.769106964013602</v>
      </c>
      <c r="F422" s="34">
        <v>752643.41</v>
      </c>
      <c r="G422" s="37">
        <f t="shared" si="288"/>
        <v>98.059727223011024</v>
      </c>
      <c r="H422" s="37">
        <v>4637.567</v>
      </c>
      <c r="I422" s="14"/>
      <c r="J422" s="14"/>
    </row>
    <row r="423" spans="1:10" s="15" customFormat="1" ht="17.25" customHeight="1">
      <c r="A423" s="35">
        <v>41157</v>
      </c>
      <c r="B423" s="68">
        <v>126.8272</v>
      </c>
      <c r="C423" s="67">
        <f t="shared" si="290"/>
        <v>126.44671840000001</v>
      </c>
      <c r="D423" s="67">
        <f t="shared" si="289"/>
        <v>127.20768159999999</v>
      </c>
      <c r="E423" s="81">
        <f>4482.263/4893.543*100</f>
        <v>91.595455480824427</v>
      </c>
      <c r="F423" s="34">
        <v>752643.41</v>
      </c>
      <c r="G423" s="37">
        <f t="shared" si="288"/>
        <v>95.45565628875201</v>
      </c>
      <c r="H423" s="37">
        <v>4482.2629999999999</v>
      </c>
      <c r="I423" s="14"/>
      <c r="J423" s="14"/>
    </row>
    <row r="424" spans="1:10" s="15" customFormat="1" ht="17.25" customHeight="1">
      <c r="A424" s="35">
        <v>41150</v>
      </c>
      <c r="B424" s="68">
        <v>127.4464</v>
      </c>
      <c r="C424" s="67">
        <f t="shared" si="290"/>
        <v>127.06406079999999</v>
      </c>
      <c r="D424" s="67">
        <f t="shared" si="289"/>
        <v>127.82873919999999</v>
      </c>
      <c r="E424" s="81">
        <f>4515.044/4893.543*100</f>
        <v>92.265338222224685</v>
      </c>
      <c r="F424" s="34">
        <v>752408.73</v>
      </c>
      <c r="G424" s="37">
        <f t="shared" si="288"/>
        <v>95.891783967072001</v>
      </c>
      <c r="H424" s="37">
        <v>4515.0439999999999</v>
      </c>
      <c r="I424" s="14"/>
      <c r="J424" s="14"/>
    </row>
    <row r="425" spans="1:10" s="15" customFormat="1" ht="17.25" customHeight="1">
      <c r="A425" s="35">
        <v>41143</v>
      </c>
      <c r="B425" s="68">
        <v>128.09469999999999</v>
      </c>
      <c r="C425" s="67">
        <f t="shared" si="290"/>
        <v>127.71041589999999</v>
      </c>
      <c r="D425" s="67">
        <f t="shared" si="289"/>
        <v>128.47898409999996</v>
      </c>
      <c r="E425" s="81">
        <f>4529.122/4893.543*100</f>
        <v>92.553023443341573</v>
      </c>
      <c r="F425" s="34">
        <v>752408.73</v>
      </c>
      <c r="G425" s="37">
        <f t="shared" si="288"/>
        <v>96.379570546730989</v>
      </c>
      <c r="H425" s="37">
        <v>4529.1220000000003</v>
      </c>
      <c r="I425" s="14"/>
      <c r="J425" s="14"/>
    </row>
    <row r="426" spans="1:10" s="15" customFormat="1" ht="17.25" customHeight="1">
      <c r="A426" s="35">
        <v>41136</v>
      </c>
      <c r="B426" s="68">
        <v>126.1712</v>
      </c>
      <c r="C426" s="67">
        <f t="shared" si="290"/>
        <v>125.79268639999999</v>
      </c>
      <c r="D426" s="67">
        <f t="shared" si="289"/>
        <v>126.54971359999999</v>
      </c>
      <c r="E426" s="81">
        <f>4488.47/4893.543*100</f>
        <v>91.722296095078775</v>
      </c>
      <c r="F426" s="34">
        <v>751845.71</v>
      </c>
      <c r="G426" s="37">
        <f t="shared" si="288"/>
        <v>94.861275445551996</v>
      </c>
      <c r="H426" s="37">
        <v>4488.47</v>
      </c>
      <c r="I426" s="14"/>
      <c r="J426" s="14"/>
    </row>
    <row r="427" spans="1:10" s="15" customFormat="1" ht="17.25" customHeight="1">
      <c r="A427" s="35">
        <v>41129</v>
      </c>
      <c r="B427" s="68">
        <v>125.53570000000001</v>
      </c>
      <c r="C427" s="67">
        <f t="shared" si="290"/>
        <v>125.1590929</v>
      </c>
      <c r="D427" s="67">
        <f t="shared" ref="D427:D432" si="291">1.003*B427</f>
        <v>125.91230709999999</v>
      </c>
      <c r="E427" s="81">
        <f>4481.686/4893.543*100</f>
        <v>91.583664432906787</v>
      </c>
      <c r="F427" s="34">
        <v>751845.71</v>
      </c>
      <c r="G427" s="37">
        <f t="shared" si="288"/>
        <v>94.383477496847007</v>
      </c>
      <c r="H427" s="37">
        <v>4481.6859999999997</v>
      </c>
      <c r="I427" s="14"/>
      <c r="J427" s="14"/>
    </row>
    <row r="428" spans="1:10" s="15" customFormat="1" ht="17.25" customHeight="1">
      <c r="A428" s="35">
        <v>41122</v>
      </c>
      <c r="B428" s="68">
        <v>123.4076</v>
      </c>
      <c r="C428" s="67">
        <f t="shared" si="290"/>
        <v>123.03737720000001</v>
      </c>
      <c r="D428" s="67">
        <f t="shared" si="291"/>
        <v>123.7778228</v>
      </c>
      <c r="E428" s="81">
        <f>4379.904/4893.543*100</f>
        <v>89.503739928309628</v>
      </c>
      <c r="F428" s="34">
        <v>747806.22</v>
      </c>
      <c r="G428" s="37">
        <f t="shared" si="288"/>
        <v>92.284970875271995</v>
      </c>
      <c r="H428" s="37">
        <v>4379.9040000000005</v>
      </c>
      <c r="I428" s="14"/>
      <c r="J428" s="14"/>
    </row>
    <row r="429" spans="1:10" s="15" customFormat="1" ht="17.25" customHeight="1">
      <c r="A429" s="35">
        <v>41115</v>
      </c>
      <c r="B429" s="68">
        <v>121.055843</v>
      </c>
      <c r="C429" s="67">
        <f t="shared" ref="C429:C434" si="292">0.997*B429</f>
        <v>120.692675471</v>
      </c>
      <c r="D429" s="67">
        <f t="shared" si="291"/>
        <v>121.41901052899998</v>
      </c>
      <c r="E429" s="81">
        <f>4216.234/4893.543*100</f>
        <v>86.159128467860626</v>
      </c>
      <c r="F429" s="34">
        <v>752230.68</v>
      </c>
      <c r="G429" s="37">
        <f t="shared" si="288"/>
        <v>91.061919097863239</v>
      </c>
      <c r="H429" s="37">
        <v>4216.2340000000004</v>
      </c>
      <c r="I429" s="14"/>
      <c r="J429" s="14"/>
    </row>
    <row r="430" spans="1:10" ht="17.25" customHeight="1">
      <c r="A430" s="35">
        <v>41108</v>
      </c>
      <c r="B430" s="68">
        <v>121.998434</v>
      </c>
      <c r="C430" s="67">
        <f t="shared" si="292"/>
        <v>121.632438698</v>
      </c>
      <c r="D430" s="67">
        <f t="shared" si="291"/>
        <v>122.36442930199999</v>
      </c>
      <c r="E430" s="81">
        <f>4346.383/4893.543*100</f>
        <v>88.818735219042736</v>
      </c>
      <c r="F430" s="34">
        <v>750653</v>
      </c>
      <c r="G430" s="37">
        <f t="shared" si="288"/>
        <v>91.578490477401999</v>
      </c>
      <c r="H430" s="37">
        <v>4346.3829999999998</v>
      </c>
      <c r="I430" s="4"/>
      <c r="J430" s="4"/>
    </row>
    <row r="431" spans="1:10" ht="17.25" customHeight="1">
      <c r="A431" s="35">
        <v>41101</v>
      </c>
      <c r="B431" s="68">
        <v>122.311711</v>
      </c>
      <c r="C431" s="67">
        <f t="shared" si="292"/>
        <v>121.944775867</v>
      </c>
      <c r="D431" s="67">
        <f t="shared" si="291"/>
        <v>122.67864613299999</v>
      </c>
      <c r="E431" s="81">
        <f>4274.448/4893.543*100</f>
        <v>87.348736896763768</v>
      </c>
      <c r="F431" s="34">
        <v>734350.66</v>
      </c>
      <c r="G431" s="37">
        <f t="shared" si="288"/>
        <v>89.819685698579264</v>
      </c>
      <c r="H431" s="37">
        <v>4274.4480000000003</v>
      </c>
      <c r="I431" s="4"/>
      <c r="J431" s="4"/>
    </row>
    <row r="432" spans="1:10" ht="17.25" customHeight="1">
      <c r="A432" s="35">
        <v>41094</v>
      </c>
      <c r="B432" s="68">
        <v>125.6306</v>
      </c>
      <c r="C432" s="67">
        <f t="shared" si="292"/>
        <v>125.25370820000001</v>
      </c>
      <c r="D432" s="67">
        <f t="shared" si="291"/>
        <v>126.00749179999998</v>
      </c>
      <c r="E432" s="81">
        <f>4383.041/4893.543*100</f>
        <v>89.567844811009138</v>
      </c>
      <c r="F432" s="34">
        <v>734350.66</v>
      </c>
      <c r="G432" s="37">
        <f t="shared" si="288"/>
        <v>92.256914026196</v>
      </c>
      <c r="H432" s="37">
        <v>4383.0410000000002</v>
      </c>
      <c r="I432" s="4"/>
      <c r="J432" s="4"/>
    </row>
    <row r="433" spans="1:10" s="15" customFormat="1" ht="17.25" customHeight="1">
      <c r="A433" s="35">
        <v>41087</v>
      </c>
      <c r="B433" s="68">
        <v>121.71850000000001</v>
      </c>
      <c r="C433" s="67">
        <f t="shared" si="292"/>
        <v>121.35334450000001</v>
      </c>
      <c r="D433" s="67">
        <f t="shared" ref="D433:D439" si="293">1.003*B433</f>
        <v>122.08365549999999</v>
      </c>
      <c r="E433" s="81">
        <f>4211.571/4893.543*100</f>
        <v>86.063839635209092</v>
      </c>
      <c r="F433" s="34">
        <v>734350.66</v>
      </c>
      <c r="G433" s="37">
        <f t="shared" si="288"/>
        <v>89.384060809209998</v>
      </c>
      <c r="H433" s="37">
        <v>4211.5709999999999</v>
      </c>
      <c r="I433" s="14"/>
      <c r="J433" s="14"/>
    </row>
    <row r="434" spans="1:10" s="15" customFormat="1" ht="17.25" customHeight="1">
      <c r="A434" s="35">
        <v>41080</v>
      </c>
      <c r="B434" s="68">
        <v>124.42619999999999</v>
      </c>
      <c r="C434" s="67">
        <f t="shared" si="292"/>
        <v>124.05292139999999</v>
      </c>
      <c r="D434" s="67">
        <f t="shared" si="293"/>
        <v>124.79947859999999</v>
      </c>
      <c r="E434" s="81">
        <f>4306.381/4893.543*100</f>
        <v>88.001290680392515</v>
      </c>
      <c r="F434" s="34">
        <v>734350.66</v>
      </c>
      <c r="G434" s="37">
        <f t="shared" si="288"/>
        <v>91.372462091291993</v>
      </c>
      <c r="H434" s="37">
        <v>4306.3810000000003</v>
      </c>
      <c r="I434" s="14"/>
      <c r="J434" s="14"/>
    </row>
    <row r="435" spans="1:10" s="15" customFormat="1" ht="17.25" customHeight="1">
      <c r="A435" s="35">
        <v>41073</v>
      </c>
      <c r="B435" s="68">
        <v>122.00109999999999</v>
      </c>
      <c r="C435" s="67">
        <f t="shared" ref="C435:C441" si="294">0.997*B435</f>
        <v>121.63509669999999</v>
      </c>
      <c r="D435" s="67">
        <f t="shared" si="293"/>
        <v>122.36710329999998</v>
      </c>
      <c r="E435" s="81">
        <f>4167.379/4893.543*100</f>
        <v>85.160772062286981</v>
      </c>
      <c r="F435" s="34">
        <v>734350.66</v>
      </c>
      <c r="G435" s="37">
        <f t="shared" si="288"/>
        <v>89.591588305726006</v>
      </c>
      <c r="H435" s="37">
        <v>4167.3789999999999</v>
      </c>
      <c r="I435" s="14"/>
      <c r="J435" s="14"/>
    </row>
    <row r="436" spans="1:10" s="15" customFormat="1" ht="17.25" customHeight="1">
      <c r="A436" s="35">
        <v>41066</v>
      </c>
      <c r="B436" s="68">
        <v>121.93989999999999</v>
      </c>
      <c r="C436" s="67">
        <f t="shared" si="294"/>
        <v>121.57408029999999</v>
      </c>
      <c r="D436" s="67">
        <f t="shared" si="293"/>
        <v>122.30571969999998</v>
      </c>
      <c r="E436" s="81">
        <f>4142.368/4893.543*100</f>
        <v>84.649669983486419</v>
      </c>
      <c r="F436" s="34">
        <v>734350.66</v>
      </c>
      <c r="G436" s="37">
        <f t="shared" si="288"/>
        <v>89.546646045334001</v>
      </c>
      <c r="H436" s="37">
        <v>4142.3680000000004</v>
      </c>
      <c r="I436" s="14"/>
      <c r="J436" s="14"/>
    </row>
    <row r="437" spans="1:10" s="15" customFormat="1" ht="17.25" customHeight="1">
      <c r="A437" s="35">
        <v>41059</v>
      </c>
      <c r="B437" s="68">
        <v>120.821</v>
      </c>
      <c r="C437" s="67">
        <f t="shared" si="294"/>
        <v>120.45853699999999</v>
      </c>
      <c r="D437" s="67">
        <f t="shared" si="293"/>
        <v>121.18346299999999</v>
      </c>
      <c r="E437" s="81">
        <f>4131.485/4893.543*100</f>
        <v>84.427274880388296</v>
      </c>
      <c r="F437" s="34">
        <v>734350.66</v>
      </c>
      <c r="G437" s="37">
        <f t="shared" si="288"/>
        <v>88.724981091860002</v>
      </c>
      <c r="H437" s="37">
        <v>4131.4849999999997</v>
      </c>
      <c r="I437" s="14"/>
      <c r="J437" s="14"/>
    </row>
    <row r="438" spans="1:10" s="15" customFormat="1" ht="17.25" customHeight="1">
      <c r="A438" s="35">
        <v>41052</v>
      </c>
      <c r="B438" s="68">
        <v>119.8096</v>
      </c>
      <c r="C438" s="67">
        <f t="shared" si="294"/>
        <v>119.4501712</v>
      </c>
      <c r="D438" s="67">
        <f t="shared" si="293"/>
        <v>120.16902879999999</v>
      </c>
      <c r="E438" s="81">
        <f>4148.903/4893.543*100</f>
        <v>84.78321330782218</v>
      </c>
      <c r="F438" s="34">
        <v>733520.44</v>
      </c>
      <c r="G438" s="37">
        <f t="shared" si="288"/>
        <v>87.882790508223991</v>
      </c>
      <c r="H438" s="37">
        <v>4148.9030000000002</v>
      </c>
      <c r="I438" s="14"/>
      <c r="J438" s="14"/>
    </row>
    <row r="439" spans="1:10" s="15" customFormat="1" ht="17.25" customHeight="1">
      <c r="A439" s="35">
        <v>41045</v>
      </c>
      <c r="B439" s="68">
        <v>119.6528</v>
      </c>
      <c r="C439" s="67">
        <f t="shared" si="294"/>
        <v>119.29384159999999</v>
      </c>
      <c r="D439" s="67">
        <f t="shared" si="293"/>
        <v>120.01175839999999</v>
      </c>
      <c r="E439" s="81">
        <f>4205.846/4893.543*100</f>
        <v>85.946848735159776</v>
      </c>
      <c r="F439" s="34">
        <v>732185.37</v>
      </c>
      <c r="G439" s="37">
        <f t="shared" si="288"/>
        <v>87.608029639535999</v>
      </c>
      <c r="H439" s="37">
        <v>4205.8459999999995</v>
      </c>
      <c r="I439" s="14"/>
      <c r="J439" s="14"/>
    </row>
    <row r="440" spans="1:10" s="15" customFormat="1" ht="17.25" customHeight="1">
      <c r="A440" s="35">
        <v>41038</v>
      </c>
      <c r="B440" s="68">
        <v>124.87739999999999</v>
      </c>
      <c r="C440" s="67">
        <f t="shared" si="294"/>
        <v>124.5027678</v>
      </c>
      <c r="D440" s="67">
        <f t="shared" ref="D440:D445" si="295">1.003*B440</f>
        <v>125.25203219999999</v>
      </c>
      <c r="E440" s="81">
        <f>4325.829/4893.543*100</f>
        <v>88.398712344001069</v>
      </c>
      <c r="F440" s="34">
        <v>732185.37</v>
      </c>
      <c r="G440" s="37">
        <f t="shared" si="288"/>
        <v>91.433405323637999</v>
      </c>
      <c r="H440" s="37">
        <v>4325.8289999999997</v>
      </c>
      <c r="I440" s="14"/>
      <c r="J440" s="14"/>
    </row>
    <row r="441" spans="1:10" s="15" customFormat="1" ht="17.25" customHeight="1">
      <c r="A441" s="35">
        <v>41031</v>
      </c>
      <c r="B441" s="68">
        <v>130.8707</v>
      </c>
      <c r="C441" s="67">
        <f t="shared" si="294"/>
        <v>130.47808789999999</v>
      </c>
      <c r="D441" s="67">
        <f t="shared" si="295"/>
        <v>131.26331209999998</v>
      </c>
      <c r="E441" s="81">
        <f>4495.995/4893.543*100</f>
        <v>91.876070160209082</v>
      </c>
      <c r="F441" s="34">
        <v>732185.37</v>
      </c>
      <c r="G441" s="37">
        <f t="shared" si="288"/>
        <v>95.821611901658997</v>
      </c>
      <c r="H441" s="37">
        <v>4495.9949999999999</v>
      </c>
      <c r="I441" s="14"/>
      <c r="J441" s="14"/>
    </row>
    <row r="442" spans="1:10" s="15" customFormat="1" ht="17.25" customHeight="1">
      <c r="A442" s="35">
        <v>41024</v>
      </c>
      <c r="B442" s="68">
        <v>130.8219</v>
      </c>
      <c r="C442" s="67">
        <f t="shared" ref="C442:C448" si="296">0.997*B442</f>
        <v>130.4294343</v>
      </c>
      <c r="D442" s="67">
        <f t="shared" si="295"/>
        <v>131.21436569999997</v>
      </c>
      <c r="E442" s="81">
        <f>4470.956/4893.543*100</f>
        <v>91.364395898840584</v>
      </c>
      <c r="F442" s="34">
        <v>732185.37</v>
      </c>
      <c r="G442" s="37">
        <f t="shared" si="288"/>
        <v>95.785881255603002</v>
      </c>
      <c r="H442" s="37">
        <v>4470.9560000000001</v>
      </c>
      <c r="I442" s="14"/>
      <c r="J442" s="14"/>
    </row>
    <row r="443" spans="1:10" s="15" customFormat="1" ht="17.25" customHeight="1">
      <c r="A443" s="35">
        <v>41017</v>
      </c>
      <c r="B443" s="68">
        <v>132.036</v>
      </c>
      <c r="C443" s="67">
        <f t="shared" si="296"/>
        <v>131.639892</v>
      </c>
      <c r="D443" s="67">
        <f t="shared" si="295"/>
        <v>132.432108</v>
      </c>
      <c r="E443" s="81">
        <f>4460.727/4893.543*100</f>
        <v>91.155365345721904</v>
      </c>
      <c r="F443" s="34">
        <v>732185.37</v>
      </c>
      <c r="G443" s="37">
        <f t="shared" si="288"/>
        <v>96.674827513319997</v>
      </c>
      <c r="H443" s="37">
        <v>4460.7269999999999</v>
      </c>
      <c r="I443" s="14"/>
      <c r="J443" s="14"/>
    </row>
    <row r="444" spans="1:10" s="15" customFormat="1" ht="17.25" customHeight="1">
      <c r="A444" s="35">
        <v>41010</v>
      </c>
      <c r="B444" s="68">
        <v>130.86080000000001</v>
      </c>
      <c r="C444" s="67">
        <f t="shared" si="296"/>
        <v>130.4682176</v>
      </c>
      <c r="D444" s="67">
        <f t="shared" si="295"/>
        <v>131.25338239999999</v>
      </c>
      <c r="E444" s="81">
        <f>4398.558/4893.543*100</f>
        <v>89.884936129099103</v>
      </c>
      <c r="F444" s="34">
        <v>730396.47</v>
      </c>
      <c r="G444" s="37">
        <f t="shared" si="288"/>
        <v>95.580266381375992</v>
      </c>
      <c r="H444" s="37">
        <v>4398.558</v>
      </c>
      <c r="I444" s="14"/>
      <c r="J444" s="14"/>
    </row>
    <row r="445" spans="1:10" s="15" customFormat="1" ht="17.25" customHeight="1">
      <c r="A445" s="35">
        <v>41003</v>
      </c>
      <c r="B445" s="68">
        <v>132.7818</v>
      </c>
      <c r="C445" s="67">
        <f t="shared" si="296"/>
        <v>132.38345459999999</v>
      </c>
      <c r="D445" s="67">
        <f t="shared" si="295"/>
        <v>133.18014539999999</v>
      </c>
      <c r="E445" s="81">
        <f>4483.87/4893.543*100</f>
        <v>91.628294673205076</v>
      </c>
      <c r="F445" s="34">
        <v>724389.57</v>
      </c>
      <c r="G445" s="37">
        <f t="shared" si="288"/>
        <v>96.185751005825992</v>
      </c>
      <c r="H445" s="37">
        <v>4483.87</v>
      </c>
      <c r="I445" s="14"/>
      <c r="J445" s="14"/>
    </row>
    <row r="446" spans="1:10" s="15" customFormat="1" ht="17.25" customHeight="1">
      <c r="A446" s="35">
        <v>40996</v>
      </c>
      <c r="B446" s="68">
        <v>136.35730000000001</v>
      </c>
      <c r="C446" s="67">
        <f t="shared" si="296"/>
        <v>135.94822810000002</v>
      </c>
      <c r="D446" s="67">
        <f t="shared" ref="D446:D451" si="297">1.003*B446</f>
        <v>136.7663719</v>
      </c>
      <c r="E446" s="81">
        <f>4553.144/4893.543*100</f>
        <v>93.043915216439316</v>
      </c>
      <c r="F446" s="34">
        <v>726466.96</v>
      </c>
      <c r="G446" s="37">
        <f t="shared" si="288"/>
        <v>99.059073204808001</v>
      </c>
      <c r="H446" s="37">
        <v>4553.1440000000002</v>
      </c>
      <c r="I446" s="14"/>
      <c r="J446" s="14"/>
    </row>
    <row r="447" spans="1:10" s="15" customFormat="1" ht="17.25" customHeight="1">
      <c r="A447" s="35">
        <v>40989</v>
      </c>
      <c r="B447" s="68">
        <v>136.54758000000001</v>
      </c>
      <c r="C447" s="67">
        <f t="shared" si="296"/>
        <v>136.13793726</v>
      </c>
      <c r="D447" s="67">
        <f t="shared" si="297"/>
        <v>136.95722273999999</v>
      </c>
      <c r="E447" s="81">
        <f>4546.357/4893.543*100</f>
        <v>92.905222248992203</v>
      </c>
      <c r="F447" s="34">
        <v>726466.96</v>
      </c>
      <c r="G447" s="37">
        <f t="shared" si="288"/>
        <v>99.197305337956806</v>
      </c>
      <c r="H447" s="37">
        <v>4546.357</v>
      </c>
      <c r="I447" s="14"/>
      <c r="J447" s="14"/>
    </row>
    <row r="448" spans="1:10" ht="17.25" customHeight="1">
      <c r="A448" s="35">
        <v>40982</v>
      </c>
      <c r="B448" s="68">
        <v>136.57060000000001</v>
      </c>
      <c r="C448" s="67">
        <f t="shared" si="296"/>
        <v>136.16088820000002</v>
      </c>
      <c r="D448" s="67">
        <f t="shared" si="297"/>
        <v>136.98031180000001</v>
      </c>
      <c r="E448" s="81">
        <f>4522.047/4893.543*100</f>
        <v>92.408445169481496</v>
      </c>
      <c r="F448" s="34">
        <v>727201.39</v>
      </c>
      <c r="G448" s="37">
        <f t="shared" si="288"/>
        <v>99.314330153134023</v>
      </c>
      <c r="H448" s="37">
        <v>4522.0469999999996</v>
      </c>
      <c r="I448" s="4"/>
      <c r="J448" s="4"/>
    </row>
    <row r="449" spans="1:10" s="15" customFormat="1" ht="17.25" customHeight="1">
      <c r="A449" s="35">
        <v>40975</v>
      </c>
      <c r="B449" s="68">
        <v>135.4093</v>
      </c>
      <c r="C449" s="67">
        <f t="shared" ref="C449:C455" si="298">0.997*B449</f>
        <v>135.0030721</v>
      </c>
      <c r="D449" s="67">
        <f t="shared" si="297"/>
        <v>135.81552789999998</v>
      </c>
      <c r="E449" s="81">
        <f>4397.838/4893.543*100</f>
        <v>89.870222863066701</v>
      </c>
      <c r="F449" s="34">
        <v>727201.39</v>
      </c>
      <c r="G449" s="37">
        <f t="shared" si="288"/>
        <v>98.469831178927009</v>
      </c>
      <c r="H449" s="37">
        <v>4397.8379999999997</v>
      </c>
      <c r="I449" s="14"/>
      <c r="J449" s="14"/>
    </row>
    <row r="450" spans="1:10" s="15" customFormat="1" ht="17.25" customHeight="1">
      <c r="A450" s="35">
        <v>40968</v>
      </c>
      <c r="B450" s="68">
        <v>138.28460000000001</v>
      </c>
      <c r="C450" s="67">
        <f t="shared" si="298"/>
        <v>137.86974620000001</v>
      </c>
      <c r="D450" s="67">
        <f t="shared" si="297"/>
        <v>138.69945379999999</v>
      </c>
      <c r="E450" s="81">
        <f>4491.979/4893.543*100</f>
        <v>91.794002831895014</v>
      </c>
      <c r="F450" s="34">
        <v>728652.03</v>
      </c>
      <c r="G450" s="37">
        <f t="shared" si="288"/>
        <v>100.76135450773801</v>
      </c>
      <c r="H450" s="37">
        <v>4491.9790000000003</v>
      </c>
      <c r="I450" s="14"/>
      <c r="J450" s="14"/>
    </row>
    <row r="451" spans="1:10" s="15" customFormat="1" ht="17.25" customHeight="1">
      <c r="A451" s="35">
        <v>40961</v>
      </c>
      <c r="B451" s="68">
        <v>139.12610000000001</v>
      </c>
      <c r="C451" s="67">
        <f t="shared" si="298"/>
        <v>138.70872170000001</v>
      </c>
      <c r="D451" s="67">
        <f t="shared" si="297"/>
        <v>139.5434783</v>
      </c>
      <c r="E451" s="81">
        <f>4453.845/4893.543*100</f>
        <v>91.014731044562197</v>
      </c>
      <c r="F451" s="34">
        <v>730093.9</v>
      </c>
      <c r="G451" s="37">
        <f t="shared" si="288"/>
        <v>101.57511694079001</v>
      </c>
      <c r="H451" s="37">
        <v>4453.8450000000003</v>
      </c>
      <c r="I451" s="14"/>
      <c r="J451" s="14"/>
    </row>
    <row r="452" spans="1:10" s="15" customFormat="1" ht="17.25" customHeight="1">
      <c r="A452" s="35">
        <v>40954</v>
      </c>
      <c r="B452" s="68">
        <v>136.77610000000001</v>
      </c>
      <c r="C452" s="67">
        <f t="shared" si="298"/>
        <v>136.36577170000001</v>
      </c>
      <c r="D452" s="67">
        <f t="shared" ref="D452:D457" si="299">1.003*B452</f>
        <v>137.18642829999999</v>
      </c>
      <c r="E452" s="81">
        <f>4402.362/4893.543*100</f>
        <v>89.962671217970296</v>
      </c>
      <c r="F452" s="34">
        <v>527029.81999999995</v>
      </c>
      <c r="G452" s="37">
        <f t="shared" si="288"/>
        <v>72.085083363302004</v>
      </c>
      <c r="H452" s="37">
        <v>4402.3620000000001</v>
      </c>
      <c r="I452" s="14"/>
      <c r="J452" s="14"/>
    </row>
    <row r="453" spans="1:10" s="15" customFormat="1" ht="17.25" customHeight="1">
      <c r="A453" s="35">
        <v>40947</v>
      </c>
      <c r="B453" s="68">
        <v>136.4819</v>
      </c>
      <c r="C453" s="67">
        <f t="shared" si="298"/>
        <v>136.0724543</v>
      </c>
      <c r="D453" s="67">
        <f t="shared" si="299"/>
        <v>136.89134569999999</v>
      </c>
      <c r="E453" s="81">
        <f>4421.599/4893.543*100</f>
        <v>90.355781077227689</v>
      </c>
      <c r="F453" s="34">
        <v>527029.81999999995</v>
      </c>
      <c r="G453" s="37">
        <f t="shared" si="288"/>
        <v>71.930031190257992</v>
      </c>
      <c r="H453" s="37">
        <v>4421.5990000000002</v>
      </c>
      <c r="I453" s="14"/>
      <c r="J453" s="14"/>
    </row>
    <row r="454" spans="1:10" s="15" customFormat="1" ht="17.25" customHeight="1">
      <c r="A454" s="35">
        <v>40940</v>
      </c>
      <c r="B454" s="68">
        <v>134.75040000000001</v>
      </c>
      <c r="C454" s="67">
        <f t="shared" si="298"/>
        <v>134.34614880000001</v>
      </c>
      <c r="D454" s="67">
        <f t="shared" si="299"/>
        <v>135.15465119999999</v>
      </c>
      <c r="E454" s="81">
        <f>4338.592/4893.543*100</f>
        <v>88.659525419517109</v>
      </c>
      <c r="F454" s="34">
        <v>527029.81999999995</v>
      </c>
      <c r="G454" s="37">
        <f t="shared" si="288"/>
        <v>71.017479056927996</v>
      </c>
      <c r="H454" s="37">
        <v>4338.5919999999996</v>
      </c>
      <c r="I454" s="14"/>
      <c r="J454" s="14"/>
    </row>
    <row r="455" spans="1:10" s="15" customFormat="1" ht="17.25" customHeight="1">
      <c r="A455" s="35">
        <v>40933</v>
      </c>
      <c r="B455" s="68">
        <v>133.00720000000001</v>
      </c>
      <c r="C455" s="67">
        <f t="shared" si="298"/>
        <v>132.60817840000001</v>
      </c>
      <c r="D455" s="67">
        <f t="shared" si="299"/>
        <v>133.40622160000001</v>
      </c>
      <c r="E455" s="81">
        <f>4288.497/4893.543*100</f>
        <v>87.635829500221021</v>
      </c>
      <c r="F455" s="34">
        <v>527029.81999999995</v>
      </c>
      <c r="G455" s="37">
        <f t="shared" si="288"/>
        <v>70.098760674703996</v>
      </c>
      <c r="H455" s="37">
        <v>4288.4970000000003</v>
      </c>
      <c r="I455" s="14"/>
      <c r="J455" s="14"/>
    </row>
    <row r="456" spans="1:10" s="15" customFormat="1" ht="17.25" customHeight="1">
      <c r="A456" s="35">
        <v>40926</v>
      </c>
      <c r="B456" s="68">
        <v>130.39570000000001</v>
      </c>
      <c r="C456" s="67">
        <f t="shared" ref="C456:C462" si="300">0.997*B456</f>
        <v>130.00451290000001</v>
      </c>
      <c r="D456" s="67">
        <f t="shared" si="299"/>
        <v>130.7868871</v>
      </c>
      <c r="E456" s="81">
        <f>4214.3/4893.543*100</f>
        <v>86.119607000490248</v>
      </c>
      <c r="F456" s="34">
        <v>526868.14</v>
      </c>
      <c r="G456" s="37">
        <f t="shared" si="288"/>
        <v>68.701339922998017</v>
      </c>
      <c r="H456" s="37">
        <v>4214.3</v>
      </c>
      <c r="I456" s="14"/>
      <c r="J456" s="14"/>
    </row>
    <row r="457" spans="1:10" s="15" customFormat="1" ht="17.25" customHeight="1">
      <c r="A457" s="35">
        <v>40919</v>
      </c>
      <c r="B457" s="68">
        <v>129.9195</v>
      </c>
      <c r="C457" s="67">
        <f t="shared" si="300"/>
        <v>129.5297415</v>
      </c>
      <c r="D457" s="67">
        <f t="shared" si="299"/>
        <v>130.3092585</v>
      </c>
      <c r="E457" s="81">
        <f>4151.803/4893.543*100</f>
        <v>84.842475073786005</v>
      </c>
      <c r="F457" s="34">
        <v>526868.14</v>
      </c>
      <c r="G457" s="37">
        <f t="shared" si="288"/>
        <v>68.450445314730004</v>
      </c>
      <c r="H457" s="37">
        <v>4151.8029999999999</v>
      </c>
      <c r="I457" s="14"/>
      <c r="J457" s="14"/>
    </row>
    <row r="458" spans="1:10" s="15" customFormat="1" ht="17.25" customHeight="1">
      <c r="A458" s="35">
        <v>40912</v>
      </c>
      <c r="B458" s="68">
        <v>129.30590000000001</v>
      </c>
      <c r="C458" s="67">
        <f t="shared" si="300"/>
        <v>128.91798230000001</v>
      </c>
      <c r="D458" s="67">
        <f t="shared" ref="D458:D464" si="301">1.003*B458</f>
        <v>129.69381769999998</v>
      </c>
      <c r="E458" s="81">
        <f>4148.055/4893.543*100</f>
        <v>84.765884350050683</v>
      </c>
      <c r="F458" s="34">
        <v>526868.14</v>
      </c>
      <c r="G458" s="37">
        <f t="shared" si="288"/>
        <v>68.127159024026</v>
      </c>
      <c r="H458" s="37">
        <v>4148.0550000000003</v>
      </c>
      <c r="I458" s="14"/>
      <c r="J458" s="14"/>
    </row>
    <row r="459" spans="1:10" s="15" customFormat="1" ht="17.25" customHeight="1">
      <c r="A459" s="35">
        <v>40908</v>
      </c>
      <c r="B459" s="68">
        <v>126.1172</v>
      </c>
      <c r="C459" s="67">
        <f t="shared" si="300"/>
        <v>125.73884839999999</v>
      </c>
      <c r="D459" s="67">
        <f t="shared" si="301"/>
        <v>126.49555159999998</v>
      </c>
      <c r="E459" s="81">
        <f>4074.834/4893.543*100</f>
        <v>83.269606499830502</v>
      </c>
      <c r="F459" s="34">
        <v>526868.14</v>
      </c>
      <c r="G459" s="37">
        <f t="shared" si="288"/>
        <v>66.447134586007991</v>
      </c>
      <c r="H459" s="37">
        <v>4074.8339999999998</v>
      </c>
      <c r="I459" s="14"/>
      <c r="J459" s="14"/>
    </row>
    <row r="460" spans="1:10" s="15" customFormat="1" ht="17.25" customHeight="1">
      <c r="A460" s="35">
        <v>40905</v>
      </c>
      <c r="B460" s="68">
        <v>124.7486</v>
      </c>
      <c r="C460" s="67">
        <f t="shared" si="300"/>
        <v>124.3743542</v>
      </c>
      <c r="D460" s="67">
        <f t="shared" si="301"/>
        <v>125.12284579999998</v>
      </c>
      <c r="E460" s="81">
        <f>4024.107/4893.543*100</f>
        <v>82.232995602572629</v>
      </c>
      <c r="F460" s="34">
        <v>526868.14</v>
      </c>
      <c r="G460" s="37">
        <f t="shared" si="288"/>
        <v>65.726062849604006</v>
      </c>
      <c r="H460" s="37">
        <v>4024.107</v>
      </c>
      <c r="I460" s="14"/>
      <c r="J460" s="14"/>
    </row>
    <row r="461" spans="1:10" s="15" customFormat="1" ht="17.25" customHeight="1">
      <c r="A461" s="35">
        <v>40898</v>
      </c>
      <c r="B461" s="68">
        <v>125.6698</v>
      </c>
      <c r="C461" s="67">
        <f t="shared" si="300"/>
        <v>125.29279059999999</v>
      </c>
      <c r="D461" s="67">
        <f t="shared" si="301"/>
        <v>126.04680939999999</v>
      </c>
      <c r="E461" s="81">
        <f>4008.909/4893.543*100</f>
        <v>81.92242307873866</v>
      </c>
      <c r="F461" s="34">
        <v>526868.14</v>
      </c>
      <c r="G461" s="37">
        <f t="shared" si="288"/>
        <v>66.211413780171995</v>
      </c>
      <c r="H461" s="37">
        <v>4008.9090000000001</v>
      </c>
      <c r="I461" s="14"/>
      <c r="J461" s="14"/>
    </row>
    <row r="462" spans="1:10" s="15" customFormat="1" ht="17.25" customHeight="1">
      <c r="A462" s="35">
        <v>40891</v>
      </c>
      <c r="B462" s="68">
        <v>124.45480000000001</v>
      </c>
      <c r="C462" s="67">
        <f t="shared" si="300"/>
        <v>124.08143560000001</v>
      </c>
      <c r="D462" s="67">
        <f t="shared" si="301"/>
        <v>124.82816439999999</v>
      </c>
      <c r="E462" s="81">
        <f>3921.352/4893.543*100</f>
        <v>80.133187753739989</v>
      </c>
      <c r="F462" s="34">
        <v>526868.14</v>
      </c>
      <c r="G462" s="37">
        <f t="shared" si="288"/>
        <v>65.571268990071999</v>
      </c>
      <c r="H462" s="37">
        <v>3921.3519999999999</v>
      </c>
      <c r="I462" s="14"/>
      <c r="J462" s="14"/>
    </row>
    <row r="463" spans="1:10" s="15" customFormat="1" ht="17.25" customHeight="1">
      <c r="A463" s="35">
        <v>40884</v>
      </c>
      <c r="B463" s="68">
        <v>131.01410000000001</v>
      </c>
      <c r="C463" s="67">
        <f t="shared" ref="C463:C469" si="302">0.997*B463</f>
        <v>130.62105770000002</v>
      </c>
      <c r="D463" s="67">
        <f t="shared" si="301"/>
        <v>131.4071423</v>
      </c>
      <c r="E463" s="81">
        <f>4120.41/4893.543*100</f>
        <v>84.20095623968156</v>
      </c>
      <c r="F463" s="34">
        <v>526868.14</v>
      </c>
      <c r="G463" s="37">
        <f t="shared" si="288"/>
        <v>69.027155180774002</v>
      </c>
      <c r="H463" s="37">
        <v>4120.41</v>
      </c>
      <c r="I463" s="14"/>
      <c r="J463" s="14"/>
    </row>
    <row r="464" spans="1:10" s="15" customFormat="1" ht="17.25" customHeight="1">
      <c r="A464" s="35">
        <v>40877</v>
      </c>
      <c r="B464" s="68">
        <v>129.8014</v>
      </c>
      <c r="C464" s="67">
        <f t="shared" si="302"/>
        <v>129.4119958</v>
      </c>
      <c r="D464" s="67">
        <f t="shared" si="301"/>
        <v>130.19080419999997</v>
      </c>
      <c r="E464" s="81">
        <f>4075.56/4893.543*100</f>
        <v>83.284442376413168</v>
      </c>
      <c r="F464" s="34">
        <v>529401.82999999996</v>
      </c>
      <c r="G464" s="37">
        <f t="shared" si="288"/>
        <v>68.71709869656199</v>
      </c>
      <c r="H464" s="37">
        <v>4075.56</v>
      </c>
      <c r="I464" s="14"/>
      <c r="J464" s="14"/>
    </row>
    <row r="465" spans="1:10" s="15" customFormat="1" ht="17.25" customHeight="1">
      <c r="A465" s="35">
        <v>40870</v>
      </c>
      <c r="B465" s="68">
        <v>124.2467</v>
      </c>
      <c r="C465" s="67">
        <f t="shared" si="302"/>
        <v>123.8739599</v>
      </c>
      <c r="D465" s="67">
        <f t="shared" ref="D465:D470" si="303">1.003*B465</f>
        <v>124.61944009999999</v>
      </c>
      <c r="E465" s="81">
        <f>3792.454/4893.543*100</f>
        <v>77.499145302289165</v>
      </c>
      <c r="F465" s="34">
        <v>529401.82999999996</v>
      </c>
      <c r="G465" s="37">
        <f t="shared" si="288"/>
        <v>65.776430351460988</v>
      </c>
      <c r="H465" s="37">
        <v>3792.4540000000002</v>
      </c>
      <c r="I465" s="14"/>
      <c r="J465" s="14"/>
    </row>
    <row r="466" spans="1:10" s="15" customFormat="1" ht="17.25" customHeight="1">
      <c r="A466" s="35">
        <v>40863</v>
      </c>
      <c r="B466" s="68">
        <v>130.49780000000001</v>
      </c>
      <c r="C466" s="67">
        <f t="shared" si="302"/>
        <v>130.10630660000001</v>
      </c>
      <c r="D466" s="67">
        <f t="shared" si="303"/>
        <v>130.88929339999999</v>
      </c>
      <c r="E466" s="81">
        <f>4052.356/4893.543*100</f>
        <v>82.810266508335587</v>
      </c>
      <c r="F466" s="34">
        <v>529401.82999999996</v>
      </c>
      <c r="G466" s="37">
        <f t="shared" si="288"/>
        <v>69.085774130973988</v>
      </c>
      <c r="H466" s="37">
        <v>4052.3560000000002</v>
      </c>
      <c r="I466" s="14"/>
      <c r="J466" s="14"/>
    </row>
    <row r="467" spans="1:10" ht="17.25" customHeight="1">
      <c r="A467" s="35">
        <v>40856</v>
      </c>
      <c r="B467" s="68">
        <v>131.09630000000001</v>
      </c>
      <c r="C467" s="67">
        <f t="shared" si="302"/>
        <v>130.70301110000003</v>
      </c>
      <c r="D467" s="67">
        <f t="shared" si="303"/>
        <v>131.4895889</v>
      </c>
      <c r="E467" s="81">
        <f>4054.093/4893.543*100</f>
        <v>82.845762262638743</v>
      </c>
      <c r="F467" s="34">
        <v>529401.82999999996</v>
      </c>
      <c r="G467" s="37">
        <f t="shared" si="288"/>
        <v>69.402621126229008</v>
      </c>
      <c r="H467" s="37">
        <v>4054.0929999999998</v>
      </c>
      <c r="I467" s="4"/>
      <c r="J467" s="4"/>
    </row>
    <row r="468" spans="1:10" s="15" customFormat="1" ht="17.25" customHeight="1">
      <c r="A468" s="35">
        <v>40849</v>
      </c>
      <c r="B468" s="68">
        <v>130.49250000000001</v>
      </c>
      <c r="C468" s="67">
        <f t="shared" si="302"/>
        <v>130.1010225</v>
      </c>
      <c r="D468" s="67">
        <f t="shared" si="303"/>
        <v>130.88397749999999</v>
      </c>
      <c r="E468" s="81">
        <f>4080.404/4893.543*100</f>
        <v>83.3834299606645</v>
      </c>
      <c r="F468" s="34">
        <v>529401.82999999996</v>
      </c>
      <c r="G468" s="37">
        <f t="shared" si="288"/>
        <v>69.082968301275002</v>
      </c>
      <c r="H468" s="37">
        <v>4080.404</v>
      </c>
      <c r="I468" s="14"/>
      <c r="J468" s="14"/>
    </row>
    <row r="469" spans="1:10" s="15" customFormat="1" ht="17.25" customHeight="1">
      <c r="A469" s="35">
        <v>40842</v>
      </c>
      <c r="B469" s="68">
        <v>131.89840000000001</v>
      </c>
      <c r="C469" s="67">
        <f t="shared" si="302"/>
        <v>131.5027048</v>
      </c>
      <c r="D469" s="67">
        <f t="shared" si="303"/>
        <v>132.29409519999999</v>
      </c>
      <c r="E469" s="81">
        <f>4116.846/4893.543*100</f>
        <v>84.128125572821162</v>
      </c>
      <c r="F469" s="34">
        <v>529401.82999999996</v>
      </c>
      <c r="G469" s="37">
        <f t="shared" si="288"/>
        <v>69.827254334071995</v>
      </c>
      <c r="H469" s="37">
        <v>4116.8459999999995</v>
      </c>
      <c r="I469" s="14"/>
      <c r="J469" s="14"/>
    </row>
    <row r="470" spans="1:10" s="15" customFormat="1" ht="17.25" customHeight="1">
      <c r="A470" s="35">
        <v>40835</v>
      </c>
      <c r="B470" s="68">
        <v>128.54810000000001</v>
      </c>
      <c r="C470" s="67">
        <f t="shared" ref="C470:C476" si="304">0.997*B470</f>
        <v>128.16245570000001</v>
      </c>
      <c r="D470" s="67">
        <f t="shared" si="303"/>
        <v>128.9337443</v>
      </c>
      <c r="E470" s="81">
        <f>4029.014/4893.543*100</f>
        <v>82.333270597601782</v>
      </c>
      <c r="F470" s="34">
        <v>529401.82999999996</v>
      </c>
      <c r="G470" s="37">
        <f t="shared" si="288"/>
        <v>68.053599383022998</v>
      </c>
      <c r="H470" s="37">
        <v>4029.0140000000001</v>
      </c>
      <c r="I470" s="14"/>
      <c r="J470" s="14"/>
    </row>
    <row r="471" spans="1:10" s="15" customFormat="1" ht="17.25" customHeight="1">
      <c r="A471" s="35">
        <v>40828</v>
      </c>
      <c r="B471" s="68">
        <v>128.3142</v>
      </c>
      <c r="C471" s="67">
        <f t="shared" si="304"/>
        <v>127.9292574</v>
      </c>
      <c r="D471" s="67">
        <f t="shared" ref="D471:D476" si="305">1.003*B471</f>
        <v>128.69914259999999</v>
      </c>
      <c r="E471" s="81">
        <f>4030.643/4893.543*100</f>
        <v>82.366559362000089</v>
      </c>
      <c r="F471" s="34">
        <v>529401.82999999996</v>
      </c>
      <c r="G471" s="37">
        <f t="shared" si="288"/>
        <v>67.929772294985995</v>
      </c>
      <c r="H471" s="37">
        <v>4030.643</v>
      </c>
      <c r="I471" s="14"/>
      <c r="J471" s="14"/>
    </row>
    <row r="472" spans="1:10" s="15" customFormat="1" ht="17.25" customHeight="1">
      <c r="A472" s="35">
        <v>40821</v>
      </c>
      <c r="B472" s="68">
        <v>121.99299999999999</v>
      </c>
      <c r="C472" s="67">
        <f t="shared" si="304"/>
        <v>121.627021</v>
      </c>
      <c r="D472" s="67">
        <f t="shared" si="305"/>
        <v>122.35897899999998</v>
      </c>
      <c r="E472" s="81">
        <f>3757.127/4893.543*100</f>
        <v>76.777234817391005</v>
      </c>
      <c r="F472" s="34">
        <v>531018.06000000006</v>
      </c>
      <c r="G472" s="37">
        <f t="shared" si="288"/>
        <v>64.780486193580003</v>
      </c>
      <c r="H472" s="37">
        <v>3757.127</v>
      </c>
      <c r="I472" s="14"/>
      <c r="J472" s="14"/>
    </row>
    <row r="473" spans="1:10" s="15" customFormat="1" ht="17.25" customHeight="1">
      <c r="A473" s="35">
        <v>40814</v>
      </c>
      <c r="B473" s="68">
        <v>124.1602</v>
      </c>
      <c r="C473" s="67">
        <f t="shared" si="304"/>
        <v>123.7877194</v>
      </c>
      <c r="D473" s="67">
        <f t="shared" si="305"/>
        <v>124.53268059999999</v>
      </c>
      <c r="E473" s="81">
        <f>3845.397/4893.543*100</f>
        <v>78.581040362780101</v>
      </c>
      <c r="F473" s="34">
        <v>528561.92000000004</v>
      </c>
      <c r="G473" s="37">
        <f t="shared" si="288"/>
        <v>65.626353699584001</v>
      </c>
      <c r="H473" s="37">
        <v>3845.3969999999999</v>
      </c>
      <c r="I473" s="14"/>
      <c r="J473" s="14"/>
    </row>
    <row r="474" spans="1:10" s="15" customFormat="1" ht="17.25" customHeight="1">
      <c r="A474" s="35">
        <v>40807</v>
      </c>
      <c r="B474" s="68">
        <v>128.21520000000001</v>
      </c>
      <c r="C474" s="67">
        <f t="shared" si="304"/>
        <v>127.83055440000001</v>
      </c>
      <c r="D474" s="67">
        <f t="shared" si="305"/>
        <v>128.59984560000001</v>
      </c>
      <c r="E474" s="81">
        <f>3890.9/4893.543*100</f>
        <v>79.510898340936222</v>
      </c>
      <c r="F474" s="34">
        <v>528561.92000000004</v>
      </c>
      <c r="G474" s="37">
        <f t="shared" si="288"/>
        <v>67.769672285184015</v>
      </c>
      <c r="H474" s="37">
        <v>3890.9</v>
      </c>
      <c r="I474" s="14"/>
      <c r="J474" s="14"/>
    </row>
    <row r="475" spans="1:10" s="15" customFormat="1" ht="17.25" customHeight="1">
      <c r="A475" s="35">
        <v>40800</v>
      </c>
      <c r="B475" s="68">
        <v>128.50470000000001</v>
      </c>
      <c r="C475" s="67">
        <f t="shared" si="304"/>
        <v>128.11918590000002</v>
      </c>
      <c r="D475" s="67">
        <f t="shared" si="305"/>
        <v>128.89021410000001</v>
      </c>
      <c r="E475" s="81">
        <f>3916.493/4893.543*100</f>
        <v>80.033893643112975</v>
      </c>
      <c r="F475" s="34">
        <v>528049.86</v>
      </c>
      <c r="G475" s="37">
        <f t="shared" si="288"/>
        <v>67.856888844342009</v>
      </c>
      <c r="H475" s="37">
        <v>3916.4929999999999</v>
      </c>
      <c r="I475" s="14"/>
      <c r="J475" s="14"/>
    </row>
    <row r="476" spans="1:10" s="15" customFormat="1" ht="17.25" customHeight="1">
      <c r="A476" s="35">
        <v>40793</v>
      </c>
      <c r="B476" s="68">
        <v>131.3691</v>
      </c>
      <c r="C476" s="67">
        <f t="shared" si="304"/>
        <v>130.9749927</v>
      </c>
      <c r="D476" s="67">
        <f t="shared" si="305"/>
        <v>131.76320729999998</v>
      </c>
      <c r="E476" s="81">
        <f>4011.896/4893.543*100</f>
        <v>81.983462697681418</v>
      </c>
      <c r="F476" s="34">
        <v>528049.86</v>
      </c>
      <c r="G476" s="37">
        <f t="shared" si="288"/>
        <v>69.369434863325992</v>
      </c>
      <c r="H476" s="37">
        <v>4011.8960000000002</v>
      </c>
      <c r="I476" s="14"/>
      <c r="J476" s="14"/>
    </row>
    <row r="477" spans="1:10" ht="17.25" customHeight="1">
      <c r="A477" s="35">
        <v>40786</v>
      </c>
      <c r="B477" s="68">
        <v>134.048078</v>
      </c>
      <c r="C477" s="67">
        <f t="shared" ref="C477:C482" si="306">0.997*B477</f>
        <v>133.64593376600001</v>
      </c>
      <c r="D477" s="67">
        <f t="shared" ref="D477:D482" si="307">1.003*B477</f>
        <v>134.45022223399999</v>
      </c>
      <c r="E477" s="81">
        <f>4138.562/4893.543*100</f>
        <v>84.571894024431799</v>
      </c>
      <c r="F477" s="34">
        <v>527306.09</v>
      </c>
      <c r="G477" s="37">
        <f t="shared" si="288"/>
        <v>70.684367882195005</v>
      </c>
      <c r="H477" s="37">
        <v>4138.5619999999999</v>
      </c>
      <c r="I477" s="4"/>
      <c r="J477" s="4"/>
    </row>
    <row r="478" spans="1:10" ht="17.25" customHeight="1">
      <c r="A478" s="35">
        <v>40779</v>
      </c>
      <c r="B478" s="68">
        <v>129.12899999999999</v>
      </c>
      <c r="C478" s="67">
        <f t="shared" si="306"/>
        <v>128.741613</v>
      </c>
      <c r="D478" s="67">
        <f t="shared" si="307"/>
        <v>129.51638699999998</v>
      </c>
      <c r="E478" s="81">
        <f>3990.85/4893.543*100</f>
        <v>81.553385757517617</v>
      </c>
      <c r="F478" s="34">
        <v>527306.09</v>
      </c>
      <c r="G478" s="37">
        <f t="shared" si="288"/>
        <v>68.090508095609991</v>
      </c>
      <c r="H478" s="37">
        <v>3990.85</v>
      </c>
      <c r="I478" s="4"/>
      <c r="J478" s="4"/>
    </row>
    <row r="479" spans="1:10" ht="17.25" customHeight="1">
      <c r="A479" s="35">
        <v>40772</v>
      </c>
      <c r="B479" s="68">
        <v>132.41220000000001</v>
      </c>
      <c r="C479" s="67">
        <f t="shared" si="306"/>
        <v>132.0149634</v>
      </c>
      <c r="D479" s="67">
        <f t="shared" si="307"/>
        <v>132.8094366</v>
      </c>
      <c r="E479" s="81">
        <f>4098.092/4893.543*100</f>
        <v>83.744885862860514</v>
      </c>
      <c r="F479" s="34">
        <v>527306.09</v>
      </c>
      <c r="G479" s="37">
        <f t="shared" si="288"/>
        <v>69.821759450298003</v>
      </c>
      <c r="H479" s="37">
        <v>4098.0919999999996</v>
      </c>
      <c r="I479" s="4"/>
      <c r="J479" s="4"/>
    </row>
    <row r="480" spans="1:10" ht="17.25" customHeight="1">
      <c r="A480" s="35">
        <v>40765</v>
      </c>
      <c r="B480" s="68">
        <v>126.4967</v>
      </c>
      <c r="C480" s="67">
        <f t="shared" si="306"/>
        <v>126.11720990000001</v>
      </c>
      <c r="D480" s="67">
        <f t="shared" si="307"/>
        <v>126.87619009999999</v>
      </c>
      <c r="E480" s="81">
        <f>3856.209/4893.543*100</f>
        <v>78.801984574366671</v>
      </c>
      <c r="F480" s="34">
        <v>511542.69</v>
      </c>
      <c r="G480" s="37">
        <f t="shared" si="288"/>
        <v>64.708462194123001</v>
      </c>
      <c r="H480" s="37">
        <v>3856.2089999999998</v>
      </c>
      <c r="I480" s="4"/>
      <c r="J480" s="4"/>
    </row>
    <row r="481" spans="1:10" ht="17.25" customHeight="1">
      <c r="A481" s="35">
        <v>40758</v>
      </c>
      <c r="B481" s="68">
        <v>135.99469999999999</v>
      </c>
      <c r="C481" s="67">
        <f t="shared" si="306"/>
        <v>135.5867159</v>
      </c>
      <c r="D481" s="67">
        <f t="shared" si="307"/>
        <v>136.40268409999999</v>
      </c>
      <c r="E481" s="81">
        <f>4305.118/4893.543*100</f>
        <v>87.975481159560687</v>
      </c>
      <c r="F481" s="34">
        <v>416363.73</v>
      </c>
      <c r="G481" s="37">
        <f t="shared" si="288"/>
        <v>56.623260552231002</v>
      </c>
      <c r="H481" s="37">
        <v>4305.1180000000004</v>
      </c>
      <c r="I481" s="4"/>
      <c r="J481" s="4"/>
    </row>
    <row r="482" spans="1:10" ht="17.25" customHeight="1">
      <c r="A482" s="35">
        <v>40751</v>
      </c>
      <c r="B482" s="68">
        <v>140.25450000000001</v>
      </c>
      <c r="C482" s="67">
        <f t="shared" si="306"/>
        <v>139.83373650000001</v>
      </c>
      <c r="D482" s="67">
        <f t="shared" si="307"/>
        <v>140.6752635</v>
      </c>
      <c r="E482" s="81">
        <f>4493.815/4893.543*100</f>
        <v>91.831521660277645</v>
      </c>
      <c r="F482" s="34">
        <v>416363.73</v>
      </c>
      <c r="G482" s="37">
        <f t="shared" ref="G482:G496" si="308">F482*B482/1000000</f>
        <v>58.396886769285004</v>
      </c>
      <c r="H482" s="37">
        <v>4493.8149999999996</v>
      </c>
      <c r="I482" s="4"/>
      <c r="J482" s="4"/>
    </row>
    <row r="483" spans="1:10" s="15" customFormat="1" ht="17.25" customHeight="1">
      <c r="A483" s="35">
        <v>40744</v>
      </c>
      <c r="B483" s="68">
        <v>140.3613</v>
      </c>
      <c r="C483" s="67">
        <f>0.995*B483</f>
        <v>139.6594935</v>
      </c>
      <c r="D483" s="67">
        <f t="shared" ref="D483:D488" si="309">1.005*B483</f>
        <v>141.06310649999998</v>
      </c>
      <c r="E483" s="81">
        <f>4510.302/4893.543*100</f>
        <v>92.168435017327937</v>
      </c>
      <c r="F483" s="34">
        <v>416286.97</v>
      </c>
      <c r="G483" s="37">
        <f>F483*B483/1000000</f>
        <v>58.430580282260998</v>
      </c>
      <c r="H483" s="37">
        <v>4510.3019999999997</v>
      </c>
      <c r="I483" s="14"/>
      <c r="J483" s="14"/>
    </row>
    <row r="484" spans="1:10" s="15" customFormat="1" ht="17.25" customHeight="1">
      <c r="A484" s="35">
        <v>40737</v>
      </c>
      <c r="B484" s="68">
        <v>139.20650000000001</v>
      </c>
      <c r="C484" s="67">
        <f>0.995*B484</f>
        <v>138.5104675</v>
      </c>
      <c r="D484" s="67">
        <f t="shared" si="309"/>
        <v>139.90253249999998</v>
      </c>
      <c r="E484" s="81">
        <f>4496.905/4893.543*100</f>
        <v>91.8946660936667</v>
      </c>
      <c r="F484" s="34">
        <v>416286.97</v>
      </c>
      <c r="G484" s="37">
        <f t="shared" si="308"/>
        <v>57.949852089304997</v>
      </c>
      <c r="H484" s="37">
        <v>4496.9049999999997</v>
      </c>
      <c r="I484" s="14"/>
      <c r="J484" s="14"/>
    </row>
    <row r="485" spans="1:10" s="15" customFormat="1" ht="17.25" customHeight="1">
      <c r="A485" s="35">
        <v>40730</v>
      </c>
      <c r="B485" s="68">
        <v>138.8366</v>
      </c>
      <c r="C485" s="67">
        <f t="shared" ref="C485:C491" si="310">0.995*B485</f>
        <v>138.14241699999999</v>
      </c>
      <c r="D485" s="67">
        <f t="shared" si="309"/>
        <v>139.53078299999999</v>
      </c>
      <c r="E485" s="81">
        <f>4569.731/4893.543*100</f>
        <v>93.382872082660768</v>
      </c>
      <c r="F485" s="34">
        <v>416286.97</v>
      </c>
      <c r="G485" s="37">
        <f t="shared" si="308"/>
        <v>57.795867539101998</v>
      </c>
      <c r="H485" s="37">
        <v>4569.7309999999998</v>
      </c>
      <c r="I485" s="14"/>
      <c r="J485" s="14"/>
    </row>
    <row r="486" spans="1:10" s="15" customFormat="1" ht="17.25" customHeight="1">
      <c r="A486" s="35">
        <v>40723</v>
      </c>
      <c r="B486" s="68">
        <v>134.3142</v>
      </c>
      <c r="C486" s="67">
        <f t="shared" si="310"/>
        <v>133.642629</v>
      </c>
      <c r="D486" s="67">
        <f t="shared" si="309"/>
        <v>134.98577099999997</v>
      </c>
      <c r="E486" s="81">
        <f>4472.524/4893.543*100</f>
        <v>91.396438122644483</v>
      </c>
      <c r="F486" s="34">
        <v>416286.97</v>
      </c>
      <c r="G486" s="37">
        <f t="shared" si="308"/>
        <v>55.913251345973997</v>
      </c>
      <c r="H486" s="37">
        <v>4472.5240000000003</v>
      </c>
      <c r="I486" s="14"/>
      <c r="J486" s="14"/>
    </row>
    <row r="487" spans="1:10" s="15" customFormat="1" ht="17.25" customHeight="1">
      <c r="A487" s="35">
        <v>40716</v>
      </c>
      <c r="B487" s="68">
        <v>133.74870000000001</v>
      </c>
      <c r="C487" s="67">
        <f t="shared" si="310"/>
        <v>133.07995650000001</v>
      </c>
      <c r="D487" s="67">
        <f t="shared" si="309"/>
        <v>134.41744349999999</v>
      </c>
      <c r="E487" s="81">
        <f>4421.615/4893.543*100</f>
        <v>90.356108038695069</v>
      </c>
      <c r="F487" s="34">
        <v>412567.22</v>
      </c>
      <c r="G487" s="37">
        <f t="shared" si="308"/>
        <v>55.180329337613998</v>
      </c>
      <c r="H487" s="37">
        <v>4421.6149999999998</v>
      </c>
      <c r="I487" s="14"/>
      <c r="J487" s="14"/>
    </row>
    <row r="488" spans="1:10" s="15" customFormat="1" ht="17.25" customHeight="1">
      <c r="A488" s="35">
        <v>40709</v>
      </c>
      <c r="B488" s="68">
        <v>132.7731</v>
      </c>
      <c r="C488" s="67">
        <f t="shared" si="310"/>
        <v>132.10923449999999</v>
      </c>
      <c r="D488" s="67">
        <f t="shared" si="309"/>
        <v>133.43696549999999</v>
      </c>
      <c r="E488" s="81">
        <f>4367.321/4893.543*100</f>
        <v>89.246605169301674</v>
      </c>
      <c r="F488" s="34">
        <v>412567.22</v>
      </c>
      <c r="G488" s="37">
        <f t="shared" si="308"/>
        <v>54.777828757781997</v>
      </c>
      <c r="H488" s="37">
        <v>4367.3209999999999</v>
      </c>
      <c r="I488" s="14"/>
      <c r="J488" s="14"/>
    </row>
    <row r="489" spans="1:10" s="15" customFormat="1" ht="17.25" customHeight="1">
      <c r="A489" s="35">
        <v>40702</v>
      </c>
      <c r="B489" s="68">
        <v>133.85589999999999</v>
      </c>
      <c r="C489" s="67">
        <f t="shared" si="310"/>
        <v>133.1866205</v>
      </c>
      <c r="D489" s="67">
        <f t="shared" ref="D489:D494" si="311">1.005*B489</f>
        <v>134.52517949999998</v>
      </c>
      <c r="E489" s="81">
        <f>4426.311/4893.543*100</f>
        <v>90.452071229373075</v>
      </c>
      <c r="F489" s="34">
        <v>411823.86</v>
      </c>
      <c r="G489" s="37">
        <f t="shared" si="308"/>
        <v>55.125053421773991</v>
      </c>
      <c r="H489" s="37">
        <v>4426.3109999999997</v>
      </c>
      <c r="I489" s="14"/>
      <c r="J489" s="14"/>
    </row>
    <row r="490" spans="1:10" s="15" customFormat="1" ht="17.25" customHeight="1">
      <c r="A490" s="35">
        <v>40695</v>
      </c>
      <c r="B490" s="68">
        <v>136.5326</v>
      </c>
      <c r="C490" s="67">
        <f t="shared" si="310"/>
        <v>135.84993700000001</v>
      </c>
      <c r="D490" s="67">
        <f t="shared" si="311"/>
        <v>137.21526299999999</v>
      </c>
      <c r="E490" s="81">
        <f>4539.343/4893.543*100</f>
        <v>92.761890515726549</v>
      </c>
      <c r="F490" s="34">
        <v>412200.04</v>
      </c>
      <c r="G490" s="37">
        <f t="shared" si="308"/>
        <v>56.278743181304002</v>
      </c>
      <c r="H490" s="37">
        <v>4539.3429999999998</v>
      </c>
      <c r="I490" s="14"/>
      <c r="J490" s="14"/>
    </row>
    <row r="491" spans="1:10" s="15" customFormat="1" ht="17.25" customHeight="1">
      <c r="A491" s="35">
        <v>40688</v>
      </c>
      <c r="B491" s="68">
        <v>133.5831</v>
      </c>
      <c r="C491" s="67">
        <f t="shared" si="310"/>
        <v>132.91518450000001</v>
      </c>
      <c r="D491" s="67">
        <f t="shared" si="311"/>
        <v>134.25101549999999</v>
      </c>
      <c r="E491" s="81">
        <f>4483.32/4893.543*100</f>
        <v>91.617055372763659</v>
      </c>
      <c r="F491" s="34">
        <v>404602.6</v>
      </c>
      <c r="G491" s="37">
        <f t="shared" si="308"/>
        <v>54.048069576059994</v>
      </c>
      <c r="H491" s="37">
        <v>4483.32</v>
      </c>
      <c r="I491" s="14"/>
      <c r="J491" s="14"/>
    </row>
    <row r="492" spans="1:10" s="15" customFormat="1" ht="17.25" customHeight="1">
      <c r="A492" s="35">
        <v>40681</v>
      </c>
      <c r="B492" s="68">
        <v>134.76130000000001</v>
      </c>
      <c r="C492" s="67">
        <f t="shared" ref="C492:C498" si="312">0.995*B492</f>
        <v>134.08749349999999</v>
      </c>
      <c r="D492" s="67">
        <f t="shared" si="311"/>
        <v>135.43510649999999</v>
      </c>
      <c r="E492" s="81">
        <f>4553.23/4893.543*100</f>
        <v>93.045672634326493</v>
      </c>
      <c r="F492" s="34">
        <v>403864.24</v>
      </c>
      <c r="G492" s="37">
        <f t="shared" si="308"/>
        <v>54.425270005911997</v>
      </c>
      <c r="H492" s="37">
        <v>4553.2299999999996</v>
      </c>
      <c r="I492" s="14"/>
      <c r="J492" s="14"/>
    </row>
    <row r="493" spans="1:10" s="15" customFormat="1" ht="17.25" customHeight="1">
      <c r="A493" s="35">
        <v>40674</v>
      </c>
      <c r="B493" s="68">
        <v>135.7029</v>
      </c>
      <c r="C493" s="67">
        <f t="shared" si="312"/>
        <v>135.02438549999999</v>
      </c>
      <c r="D493" s="67">
        <f t="shared" si="311"/>
        <v>136.38141449999998</v>
      </c>
      <c r="E493" s="81">
        <f>4600.227/4893.543*100</f>
        <v>94.00606063949985</v>
      </c>
      <c r="F493" s="34">
        <v>403864.24</v>
      </c>
      <c r="G493" s="37">
        <f t="shared" si="308"/>
        <v>54.805548574295997</v>
      </c>
      <c r="H493" s="37">
        <v>4600.2269999999999</v>
      </c>
      <c r="I493" s="14"/>
      <c r="J493" s="14"/>
    </row>
    <row r="494" spans="1:10" s="15" customFormat="1" ht="17.25" customHeight="1">
      <c r="A494" s="35">
        <v>40667</v>
      </c>
      <c r="B494" s="68">
        <v>136.77799999999999</v>
      </c>
      <c r="C494" s="67">
        <f t="shared" si="312"/>
        <v>136.09411</v>
      </c>
      <c r="D494" s="67">
        <f t="shared" si="311"/>
        <v>137.46188999999998</v>
      </c>
      <c r="E494" s="81">
        <f>4640.153/4893.543*100</f>
        <v>94.821952111179982</v>
      </c>
      <c r="F494" s="34">
        <v>403864.24</v>
      </c>
      <c r="G494" s="37">
        <f t="shared" si="308"/>
        <v>55.239743018719992</v>
      </c>
      <c r="H494" s="37">
        <v>4640.1530000000002</v>
      </c>
      <c r="I494" s="14"/>
      <c r="J494" s="14"/>
    </row>
    <row r="495" spans="1:10" s="15" customFormat="1" ht="17.25" customHeight="1">
      <c r="A495" s="35">
        <v>40660</v>
      </c>
      <c r="B495" s="68">
        <v>136.82929999999999</v>
      </c>
      <c r="C495" s="67">
        <f t="shared" si="312"/>
        <v>136.14515349999999</v>
      </c>
      <c r="D495" s="67">
        <f t="shared" ref="D495:D500" si="313">1.005*B495</f>
        <v>137.51344649999999</v>
      </c>
      <c r="E495" s="81">
        <f>4634.85/4893.543*100</f>
        <v>94.713584819833002</v>
      </c>
      <c r="F495" s="34">
        <v>378791.9</v>
      </c>
      <c r="G495" s="37">
        <f t="shared" si="308"/>
        <v>51.829830522670001</v>
      </c>
      <c r="H495" s="37">
        <v>4634.8500000000004</v>
      </c>
      <c r="I495" s="14"/>
      <c r="J495" s="14"/>
    </row>
    <row r="496" spans="1:10" s="15" customFormat="1" ht="17.25" customHeight="1">
      <c r="A496" s="35">
        <v>40653</v>
      </c>
      <c r="B496" s="68">
        <v>134.80770000000001</v>
      </c>
      <c r="C496" s="67">
        <f t="shared" si="312"/>
        <v>134.13366150000002</v>
      </c>
      <c r="D496" s="67">
        <f t="shared" si="313"/>
        <v>135.48173850000001</v>
      </c>
      <c r="E496" s="81">
        <f>4560.357/4893.543*100</f>
        <v>93.191313532955576</v>
      </c>
      <c r="F496" s="34">
        <v>378791.9</v>
      </c>
      <c r="G496" s="37">
        <f t="shared" si="308"/>
        <v>51.064064817630005</v>
      </c>
      <c r="H496" s="37">
        <v>4560.357</v>
      </c>
      <c r="I496" s="14"/>
      <c r="J496" s="14"/>
    </row>
    <row r="497" spans="1:10" s="15" customFormat="1" ht="17.25" customHeight="1">
      <c r="A497" s="35">
        <v>40646</v>
      </c>
      <c r="B497" s="68">
        <v>132.46029999999999</v>
      </c>
      <c r="C497" s="67">
        <f t="shared" si="312"/>
        <v>131.79799849999998</v>
      </c>
      <c r="D497" s="67">
        <f t="shared" si="313"/>
        <v>133.12260149999997</v>
      </c>
      <c r="E497" s="81">
        <f>4518.077/4893.543*100</f>
        <v>92.327317855386184</v>
      </c>
      <c r="F497" s="34">
        <v>378791.9</v>
      </c>
      <c r="G497" s="37">
        <f t="shared" ref="G497:G535" si="314">F497*B497/1000000</f>
        <v>50.174888711569999</v>
      </c>
      <c r="H497" s="37">
        <v>4518.0770000000002</v>
      </c>
      <c r="I497" s="14"/>
      <c r="J497" s="14"/>
    </row>
    <row r="498" spans="1:10" s="15" customFormat="1" ht="17.25" customHeight="1">
      <c r="A498" s="35">
        <v>40639</v>
      </c>
      <c r="B498" s="68">
        <v>132.81110000000001</v>
      </c>
      <c r="C498" s="67">
        <f t="shared" si="312"/>
        <v>132.14704450000002</v>
      </c>
      <c r="D498" s="67">
        <f t="shared" si="313"/>
        <v>133.4751555</v>
      </c>
      <c r="E498" s="81">
        <f>4550.585/4893.543*100</f>
        <v>92.991621816749131</v>
      </c>
      <c r="F498" s="34">
        <v>367252.18</v>
      </c>
      <c r="G498" s="37">
        <f t="shared" si="314"/>
        <v>48.775166003198002</v>
      </c>
      <c r="H498" s="37">
        <v>4550.585</v>
      </c>
      <c r="I498" s="14"/>
      <c r="J498" s="14"/>
    </row>
    <row r="499" spans="1:10" s="15" customFormat="1" ht="17.25" customHeight="1">
      <c r="A499" s="35">
        <v>40632</v>
      </c>
      <c r="B499" s="68">
        <v>130.8022</v>
      </c>
      <c r="C499" s="67">
        <f t="shared" ref="C499:C505" si="315">0.995*B499</f>
        <v>130.148189</v>
      </c>
      <c r="D499" s="67">
        <f t="shared" si="313"/>
        <v>131.456211</v>
      </c>
      <c r="E499" s="81">
        <f>4504.306/4893.543*100</f>
        <v>92.045906207424764</v>
      </c>
      <c r="F499" s="34">
        <v>314647.69</v>
      </c>
      <c r="G499" s="37">
        <f t="shared" si="314"/>
        <v>41.156610076918</v>
      </c>
      <c r="H499" s="37">
        <v>4504.3059999999996</v>
      </c>
      <c r="I499" s="14"/>
      <c r="J499" s="14"/>
    </row>
    <row r="500" spans="1:10" s="15" customFormat="1" ht="17.25" customHeight="1">
      <c r="A500" s="35">
        <v>40625</v>
      </c>
      <c r="B500" s="68">
        <v>129.87780000000001</v>
      </c>
      <c r="C500" s="67">
        <f t="shared" si="315"/>
        <v>129.22841099999999</v>
      </c>
      <c r="D500" s="67">
        <f t="shared" si="313"/>
        <v>130.52718899999999</v>
      </c>
      <c r="E500" s="81">
        <f>4415.944/4893.543*100</f>
        <v>90.240220633598213</v>
      </c>
      <c r="F500" s="34">
        <v>314647.69</v>
      </c>
      <c r="G500" s="37">
        <f t="shared" si="314"/>
        <v>40.865749752281999</v>
      </c>
      <c r="H500" s="37">
        <v>4415.9440000000004</v>
      </c>
      <c r="I500" s="14"/>
      <c r="J500" s="14"/>
    </row>
    <row r="501" spans="1:10" s="15" customFormat="1" ht="17.25" customHeight="1">
      <c r="A501" s="35">
        <v>40618</v>
      </c>
      <c r="B501" s="68">
        <v>124.3336</v>
      </c>
      <c r="C501" s="67">
        <f t="shared" si="315"/>
        <v>123.711932</v>
      </c>
      <c r="D501" s="67">
        <f t="shared" ref="D501:D506" si="316">1.005*B501</f>
        <v>124.95526799999999</v>
      </c>
      <c r="E501" s="81">
        <f>4241.801/4893.543*100</f>
        <v>86.681592457652883</v>
      </c>
      <c r="F501" s="34">
        <v>313047.12</v>
      </c>
      <c r="G501" s="37">
        <f t="shared" si="314"/>
        <v>38.922275399231999</v>
      </c>
      <c r="H501" s="37">
        <v>4241.8010000000004</v>
      </c>
      <c r="I501" s="14"/>
      <c r="J501" s="14"/>
    </row>
    <row r="502" spans="1:10" ht="17.25" customHeight="1">
      <c r="A502" s="35">
        <v>40611</v>
      </c>
      <c r="B502" s="68">
        <v>133.53639999999999</v>
      </c>
      <c r="C502" s="67">
        <f t="shared" si="315"/>
        <v>132.86871799999997</v>
      </c>
      <c r="D502" s="67">
        <f t="shared" si="316"/>
        <v>134.20408199999997</v>
      </c>
      <c r="E502" s="81">
        <f>4507.503/4893.543*100</f>
        <v>92.11123719562697</v>
      </c>
      <c r="F502" s="34">
        <v>311184.28000000003</v>
      </c>
      <c r="G502" s="37">
        <f t="shared" si="314"/>
        <v>41.554428487792002</v>
      </c>
      <c r="H502" s="37">
        <v>4507.5029999999997</v>
      </c>
      <c r="I502" s="4"/>
      <c r="J502" s="4"/>
    </row>
    <row r="503" spans="1:10" s="15" customFormat="1" ht="17.25" customHeight="1">
      <c r="A503" s="35">
        <v>40604</v>
      </c>
      <c r="B503" s="68">
        <v>134.22919999999999</v>
      </c>
      <c r="C503" s="67">
        <f t="shared" si="315"/>
        <v>133.558054</v>
      </c>
      <c r="D503" s="67">
        <f t="shared" si="316"/>
        <v>134.90034599999998</v>
      </c>
      <c r="E503" s="81">
        <f>4498.49/4893.543*100</f>
        <v>91.927055714029692</v>
      </c>
      <c r="F503" s="34">
        <v>311184.28000000003</v>
      </c>
      <c r="G503" s="37">
        <f t="shared" si="314"/>
        <v>41.770016956976001</v>
      </c>
      <c r="H503" s="37">
        <v>4498.49</v>
      </c>
      <c r="I503" s="14"/>
      <c r="J503" s="14"/>
    </row>
    <row r="504" spans="1:10" s="15" customFormat="1" ht="17.25" customHeight="1">
      <c r="A504" s="35">
        <v>40597</v>
      </c>
      <c r="B504" s="68">
        <v>132.39330000000001</v>
      </c>
      <c r="C504" s="67">
        <f t="shared" si="315"/>
        <v>131.73133350000001</v>
      </c>
      <c r="D504" s="67">
        <f t="shared" si="316"/>
        <v>133.05526649999999</v>
      </c>
      <c r="E504" s="81">
        <f>4467.803/4893.543*100</f>
        <v>91.299964054673694</v>
      </c>
      <c r="F504" s="34">
        <v>311184.28000000003</v>
      </c>
      <c r="G504" s="37">
        <f t="shared" si="314"/>
        <v>41.198713737324006</v>
      </c>
      <c r="H504" s="37">
        <v>4467.8029999999999</v>
      </c>
      <c r="I504" s="14"/>
      <c r="J504" s="14"/>
    </row>
    <row r="505" spans="1:10" s="15" customFormat="1" ht="17.25" customHeight="1">
      <c r="A505" s="35">
        <v>40590</v>
      </c>
      <c r="B505" s="68">
        <v>133.12020000000001</v>
      </c>
      <c r="C505" s="67">
        <f t="shared" si="315"/>
        <v>132.454599</v>
      </c>
      <c r="D505" s="67">
        <f t="shared" si="316"/>
        <v>133.78580099999999</v>
      </c>
      <c r="E505" s="81">
        <f>4541.07/4893.543*100</f>
        <v>92.797181919112589</v>
      </c>
      <c r="F505" s="34">
        <v>311184.28000000003</v>
      </c>
      <c r="G505" s="37">
        <f t="shared" si="314"/>
        <v>41.424913590456008</v>
      </c>
      <c r="H505" s="37">
        <v>4541.07</v>
      </c>
      <c r="I505" s="14"/>
      <c r="J505" s="14"/>
    </row>
    <row r="506" spans="1:10" s="15" customFormat="1" ht="17.25" customHeight="1">
      <c r="A506" s="35">
        <v>40583</v>
      </c>
      <c r="B506" s="68">
        <v>132.92490000000001</v>
      </c>
      <c r="C506" s="67">
        <f t="shared" ref="C506:C512" si="317">0.995*B506</f>
        <v>132.26027550000001</v>
      </c>
      <c r="D506" s="67">
        <f t="shared" si="316"/>
        <v>133.58952449999998</v>
      </c>
      <c r="E506" s="81">
        <f>4506.462/4893.543*100</f>
        <v>92.089964265155146</v>
      </c>
      <c r="F506" s="34">
        <v>311184.28000000003</v>
      </c>
      <c r="G506" s="37">
        <f t="shared" si="314"/>
        <v>41.364139300572006</v>
      </c>
      <c r="H506" s="37">
        <v>4506.4620000000004</v>
      </c>
      <c r="I506" s="14"/>
      <c r="J506" s="14"/>
    </row>
    <row r="507" spans="1:10" s="15" customFormat="1" ht="17.25" customHeight="1">
      <c r="A507" s="35">
        <v>40576</v>
      </c>
      <c r="B507" s="68">
        <v>131.53290000000001</v>
      </c>
      <c r="C507" s="67">
        <f t="shared" si="317"/>
        <v>130.8752355</v>
      </c>
      <c r="D507" s="67">
        <f t="shared" ref="D507:D512" si="318">1.005*B507</f>
        <v>132.19056449999999</v>
      </c>
      <c r="E507" s="81">
        <f>4471.719/4893.543*100</f>
        <v>91.379987873816589</v>
      </c>
      <c r="F507" s="34">
        <v>311184.28000000003</v>
      </c>
      <c r="G507" s="37">
        <f t="shared" si="314"/>
        <v>40.930970782812004</v>
      </c>
      <c r="H507" s="37">
        <v>4471.7190000000001</v>
      </c>
      <c r="I507" s="14"/>
      <c r="J507" s="14"/>
    </row>
    <row r="508" spans="1:10" s="15" customFormat="1" ht="17.25" customHeight="1">
      <c r="A508" s="35">
        <v>40569</v>
      </c>
      <c r="B508" s="68">
        <v>130.84610000000001</v>
      </c>
      <c r="C508" s="67">
        <f t="shared" si="317"/>
        <v>130.1918695</v>
      </c>
      <c r="D508" s="67">
        <f t="shared" si="318"/>
        <v>131.50033049999999</v>
      </c>
      <c r="E508" s="81">
        <f>4421.99/4893.543*100</f>
        <v>90.363771198086951</v>
      </c>
      <c r="F508" s="34">
        <v>311184.28000000003</v>
      </c>
      <c r="G508" s="37">
        <f t="shared" si="314"/>
        <v>40.717249419308004</v>
      </c>
      <c r="H508" s="37">
        <v>4421.99</v>
      </c>
      <c r="I508" s="14"/>
      <c r="J508" s="14"/>
    </row>
    <row r="509" spans="1:10" s="15" customFormat="1" ht="17.25" customHeight="1">
      <c r="A509" s="35">
        <v>40562</v>
      </c>
      <c r="B509" s="68">
        <v>132.04490000000001</v>
      </c>
      <c r="C509" s="67">
        <f t="shared" si="317"/>
        <v>131.38467550000001</v>
      </c>
      <c r="D509" s="67">
        <f t="shared" si="318"/>
        <v>132.70512450000001</v>
      </c>
      <c r="E509" s="81">
        <f>4389.077/4893.543*100</f>
        <v>89.691191024580775</v>
      </c>
      <c r="F509" s="34">
        <v>311184.28000000003</v>
      </c>
      <c r="G509" s="37">
        <f t="shared" si="314"/>
        <v>41.090297134172005</v>
      </c>
      <c r="H509" s="37">
        <v>4389.0770000000002</v>
      </c>
      <c r="I509" s="14"/>
      <c r="J509" s="14"/>
    </row>
    <row r="510" spans="1:10" ht="17.25" customHeight="1">
      <c r="A510" s="35">
        <v>40555</v>
      </c>
      <c r="B510" s="68">
        <v>130.935</v>
      </c>
      <c r="C510" s="67">
        <f t="shared" si="317"/>
        <v>130.280325</v>
      </c>
      <c r="D510" s="67">
        <f t="shared" si="318"/>
        <v>131.589675</v>
      </c>
      <c r="E510" s="81">
        <f>4353.462/4893.543*100</f>
        <v>88.963395233269651</v>
      </c>
      <c r="F510" s="34">
        <v>309246.44</v>
      </c>
      <c r="G510" s="37">
        <f t="shared" si="314"/>
        <v>40.4911826214</v>
      </c>
      <c r="H510" s="37">
        <v>4353.4620000000004</v>
      </c>
      <c r="I510" s="4"/>
      <c r="J510" s="4"/>
    </row>
    <row r="511" spans="1:10" s="15" customFormat="1" ht="17.25" customHeight="1">
      <c r="A511" s="35">
        <v>40548</v>
      </c>
      <c r="B511" s="68">
        <v>129.613</v>
      </c>
      <c r="C511" s="67">
        <f t="shared" si="317"/>
        <v>128.964935</v>
      </c>
      <c r="D511" s="67">
        <f t="shared" si="318"/>
        <v>130.26106499999997</v>
      </c>
      <c r="E511" s="81">
        <f>4307.559/4893.543*100</f>
        <v>88.025363218428865</v>
      </c>
      <c r="F511" s="34">
        <v>309246.44</v>
      </c>
      <c r="G511" s="37">
        <f t="shared" si="314"/>
        <v>40.08235882772</v>
      </c>
      <c r="H511" s="37">
        <v>4307.5590000000002</v>
      </c>
      <c r="I511" s="14"/>
      <c r="J511" s="14"/>
    </row>
    <row r="512" spans="1:10" ht="17.25" customHeight="1">
      <c r="A512" s="35">
        <v>40543</v>
      </c>
      <c r="B512" s="68">
        <v>130.9768</v>
      </c>
      <c r="C512" s="67">
        <f t="shared" si="317"/>
        <v>130.32191599999999</v>
      </c>
      <c r="D512" s="67">
        <f t="shared" si="318"/>
        <v>131.63168399999998</v>
      </c>
      <c r="E512" s="81">
        <f>4290.045/4893.543*100</f>
        <v>87.667463022190674</v>
      </c>
      <c r="F512" s="34">
        <v>309246.44</v>
      </c>
      <c r="G512" s="37">
        <f t="shared" si="314"/>
        <v>40.504109122592006</v>
      </c>
      <c r="H512" s="37">
        <v>4290.0450000000001</v>
      </c>
      <c r="I512" s="4"/>
      <c r="J512" s="4"/>
    </row>
    <row r="513" spans="1:10" ht="17.25" customHeight="1">
      <c r="A513" s="35">
        <v>40541</v>
      </c>
      <c r="B513" s="68">
        <v>130.51249999999999</v>
      </c>
      <c r="C513" s="67">
        <f t="shared" ref="C513:C529" si="319">0.995*B513</f>
        <v>129.8599375</v>
      </c>
      <c r="D513" s="67">
        <f t="shared" ref="D513:D529" si="320">1.005*B513</f>
        <v>131.16506249999998</v>
      </c>
      <c r="E513" s="81">
        <f>4286.581/4893.543*100</f>
        <v>87.596675864501449</v>
      </c>
      <c r="F513" s="34">
        <v>308060.15000000002</v>
      </c>
      <c r="G513" s="37">
        <f t="shared" si="314"/>
        <v>40.205700326875004</v>
      </c>
      <c r="H513" s="37">
        <v>4286.5810000000001</v>
      </c>
      <c r="I513" s="4"/>
      <c r="J513" s="4"/>
    </row>
    <row r="514" spans="1:10" s="15" customFormat="1" ht="17.25" customHeight="1">
      <c r="A514" s="35">
        <v>40534</v>
      </c>
      <c r="B514" s="68">
        <v>128.392</v>
      </c>
      <c r="C514" s="67">
        <f t="shared" si="319"/>
        <v>127.75004</v>
      </c>
      <c r="D514" s="67">
        <f t="shared" si="320"/>
        <v>129.03395999999998</v>
      </c>
      <c r="E514" s="81">
        <f>4267.172/4893.543*100</f>
        <v>87.200051169469646</v>
      </c>
      <c r="F514" s="34">
        <v>304185.2</v>
      </c>
      <c r="G514" s="37">
        <f t="shared" si="314"/>
        <v>39.054946198399996</v>
      </c>
      <c r="H514" s="37">
        <v>4267.1719999999996</v>
      </c>
      <c r="I514" s="14"/>
      <c r="J514" s="14"/>
    </row>
    <row r="515" spans="1:10" ht="17.25" customHeight="1">
      <c r="A515" s="35">
        <v>40527</v>
      </c>
      <c r="B515" s="68">
        <v>127.717</v>
      </c>
      <c r="C515" s="67">
        <f t="shared" si="319"/>
        <v>127.07841499999999</v>
      </c>
      <c r="D515" s="67">
        <f t="shared" si="320"/>
        <v>128.35558499999999</v>
      </c>
      <c r="E515" s="81">
        <f>4219.012/4893.543*100</f>
        <v>86.21589715263562</v>
      </c>
      <c r="F515" s="34">
        <v>304185.2</v>
      </c>
      <c r="G515" s="37">
        <f t="shared" si="314"/>
        <v>38.8496211884</v>
      </c>
      <c r="H515" s="37">
        <v>4219.0119999999997</v>
      </c>
      <c r="I515" s="4"/>
      <c r="J515" s="4"/>
    </row>
    <row r="516" spans="1:10" ht="17.25" customHeight="1">
      <c r="A516" s="35">
        <v>40520</v>
      </c>
      <c r="B516" s="68">
        <v>126.5249</v>
      </c>
      <c r="C516" s="67">
        <f t="shared" si="319"/>
        <v>125.8922755</v>
      </c>
      <c r="D516" s="67">
        <f t="shared" si="320"/>
        <v>127.15752449999999</v>
      </c>
      <c r="E516" s="81">
        <f>4174.107/4893.543*100</f>
        <v>85.298259359323097</v>
      </c>
      <c r="F516" s="34">
        <v>300253.07</v>
      </c>
      <c r="G516" s="37">
        <f t="shared" si="314"/>
        <v>37.989489656442998</v>
      </c>
      <c r="H516" s="37">
        <v>4174.107</v>
      </c>
      <c r="I516" s="4"/>
      <c r="J516" s="4"/>
    </row>
    <row r="517" spans="1:10" s="15" customFormat="1" ht="17.25" customHeight="1">
      <c r="A517" s="35">
        <v>40513</v>
      </c>
      <c r="B517" s="68">
        <v>124.09910000000001</v>
      </c>
      <c r="C517" s="67">
        <f t="shared" si="319"/>
        <v>123.4786045</v>
      </c>
      <c r="D517" s="67">
        <f t="shared" si="320"/>
        <v>124.7195955</v>
      </c>
      <c r="E517" s="81">
        <f>4072.977/4893.543*100</f>
        <v>83.231658534521927</v>
      </c>
      <c r="F517" s="34">
        <v>296243.76</v>
      </c>
      <c r="G517" s="37">
        <f t="shared" si="314"/>
        <v>36.763583996616006</v>
      </c>
      <c r="H517" s="37">
        <v>4072.9769999999999</v>
      </c>
      <c r="I517" s="14"/>
      <c r="J517" s="14"/>
    </row>
    <row r="518" spans="1:10" s="15" customFormat="1" ht="17.25" customHeight="1">
      <c r="A518" s="35">
        <v>40506</v>
      </c>
      <c r="B518" s="68">
        <v>124.9311</v>
      </c>
      <c r="C518" s="67">
        <f t="shared" si="319"/>
        <v>124.3064445</v>
      </c>
      <c r="D518" s="67">
        <f t="shared" si="320"/>
        <v>125.55575549999999</v>
      </c>
      <c r="E518" s="81">
        <f>4088.594/4893.543*100</f>
        <v>83.550793361783064</v>
      </c>
      <c r="F518" s="34">
        <v>296243.76</v>
      </c>
      <c r="G518" s="37">
        <f t="shared" si="314"/>
        <v>37.010058804936001</v>
      </c>
      <c r="H518" s="37">
        <v>4088.5940000000001</v>
      </c>
      <c r="I518" s="14"/>
      <c r="J518" s="14"/>
    </row>
    <row r="519" spans="1:10" ht="17.25" customHeight="1">
      <c r="A519" s="35">
        <v>40499</v>
      </c>
      <c r="B519" s="68">
        <v>122.84910000000001</v>
      </c>
      <c r="C519" s="67">
        <f t="shared" si="319"/>
        <v>122.23485450000001</v>
      </c>
      <c r="D519" s="67">
        <f t="shared" si="320"/>
        <v>123.46334549999999</v>
      </c>
      <c r="E519" s="81">
        <f>4063.185/4893.543*100</f>
        <v>83.03155811648125</v>
      </c>
      <c r="F519" s="34">
        <v>296243.76</v>
      </c>
      <c r="G519" s="37">
        <f t="shared" si="314"/>
        <v>36.393279296616001</v>
      </c>
      <c r="H519" s="37">
        <v>4063.1849999999999</v>
      </c>
      <c r="I519" s="4"/>
      <c r="J519" s="4"/>
    </row>
    <row r="520" spans="1:10" ht="17.25" customHeight="1">
      <c r="A520" s="35">
        <v>40492</v>
      </c>
      <c r="B520" s="68">
        <v>126.53579999999999</v>
      </c>
      <c r="C520" s="67">
        <f t="shared" si="319"/>
        <v>125.903121</v>
      </c>
      <c r="D520" s="67">
        <f t="shared" si="320"/>
        <v>127.16847899999998</v>
      </c>
      <c r="E520" s="81">
        <f>4179.936/4893.543*100</f>
        <v>85.417375508910425</v>
      </c>
      <c r="F520" s="34">
        <v>295457.40000000002</v>
      </c>
      <c r="G520" s="37">
        <f t="shared" si="314"/>
        <v>37.385938474920003</v>
      </c>
      <c r="H520" s="37">
        <v>4179.9359999999997</v>
      </c>
      <c r="I520" s="4"/>
      <c r="J520" s="4"/>
    </row>
    <row r="521" spans="1:10" ht="17.25" customHeight="1">
      <c r="A521" s="35">
        <v>40485</v>
      </c>
      <c r="B521" s="68">
        <v>123.1292</v>
      </c>
      <c r="C521" s="67">
        <f t="shared" si="319"/>
        <v>122.513554</v>
      </c>
      <c r="D521" s="67">
        <f t="shared" si="320"/>
        <v>123.74484599999998</v>
      </c>
      <c r="E521" s="81">
        <f>4121.209/4893.543*100</f>
        <v>84.217283877959176</v>
      </c>
      <c r="F521" s="34">
        <v>293841.17</v>
      </c>
      <c r="G521" s="37">
        <f t="shared" si="314"/>
        <v>36.180428189163997</v>
      </c>
      <c r="H521" s="37">
        <v>4121.2089999999998</v>
      </c>
      <c r="I521" s="4"/>
      <c r="J521" s="4"/>
    </row>
    <row r="522" spans="1:10" ht="17.25" customHeight="1">
      <c r="A522" s="35">
        <v>40478</v>
      </c>
      <c r="B522" s="68">
        <v>121.46510000000001</v>
      </c>
      <c r="C522" s="67">
        <f t="shared" si="319"/>
        <v>120.8577745</v>
      </c>
      <c r="D522" s="67">
        <f t="shared" si="320"/>
        <v>122.07242549999999</v>
      </c>
      <c r="E522" s="81">
        <f>4053.019/4893.543*100</f>
        <v>82.823814974140419</v>
      </c>
      <c r="F522" s="34">
        <v>293841.17</v>
      </c>
      <c r="G522" s="37">
        <f t="shared" si="314"/>
        <v>35.691447098167004</v>
      </c>
      <c r="H522" s="37">
        <v>4053.0189999999998</v>
      </c>
      <c r="I522" s="4"/>
      <c r="J522" s="4"/>
    </row>
    <row r="523" spans="1:10" ht="17.25" customHeight="1">
      <c r="A523" s="35">
        <v>40471</v>
      </c>
      <c r="B523" s="68">
        <v>121.48309999999999</v>
      </c>
      <c r="C523" s="67">
        <f t="shared" si="319"/>
        <v>120.87568449999999</v>
      </c>
      <c r="D523" s="67">
        <f t="shared" si="320"/>
        <v>122.09051549999998</v>
      </c>
      <c r="E523" s="81">
        <f>4078.737/4893.543*100</f>
        <v>83.349364662781142</v>
      </c>
      <c r="F523" s="34">
        <v>293841.17</v>
      </c>
      <c r="G523" s="37">
        <f t="shared" si="314"/>
        <v>35.696736239226993</v>
      </c>
      <c r="H523" s="37">
        <v>4078.7370000000001</v>
      </c>
      <c r="I523" s="4"/>
      <c r="J523" s="4"/>
    </row>
    <row r="524" spans="1:10" ht="17.25" customHeight="1">
      <c r="A524" s="35">
        <v>40464</v>
      </c>
      <c r="B524" s="68">
        <v>122.4889</v>
      </c>
      <c r="C524" s="67">
        <f t="shared" si="319"/>
        <v>121.87645550000001</v>
      </c>
      <c r="D524" s="67">
        <f t="shared" si="320"/>
        <v>123.10134449999998</v>
      </c>
      <c r="E524" s="81">
        <f>4078.652/4893.543*100</f>
        <v>83.347627679985649</v>
      </c>
      <c r="F524" s="34">
        <v>293841.17</v>
      </c>
      <c r="G524" s="37">
        <f t="shared" si="314"/>
        <v>35.992281688012994</v>
      </c>
      <c r="H524" s="37">
        <v>4078.652</v>
      </c>
      <c r="I524" s="4"/>
      <c r="J524" s="4"/>
    </row>
    <row r="525" spans="1:10" ht="17.25" customHeight="1">
      <c r="A525" s="35">
        <v>40457</v>
      </c>
      <c r="B525" s="68">
        <v>121.3627</v>
      </c>
      <c r="C525" s="67">
        <f t="shared" si="319"/>
        <v>120.7558865</v>
      </c>
      <c r="D525" s="67">
        <f t="shared" si="320"/>
        <v>121.96951349999999</v>
      </c>
      <c r="E525" s="81">
        <f>4022.237/4893.543*100</f>
        <v>82.194781981071799</v>
      </c>
      <c r="F525" s="34">
        <v>293841.17</v>
      </c>
      <c r="G525" s="37">
        <f t="shared" si="314"/>
        <v>35.661357762359003</v>
      </c>
      <c r="H525" s="37">
        <v>4022.2370000000001</v>
      </c>
      <c r="I525" s="4"/>
      <c r="J525" s="4"/>
    </row>
    <row r="526" spans="1:10" ht="17.25" customHeight="1">
      <c r="A526" s="35">
        <v>40450</v>
      </c>
      <c r="B526" s="68">
        <v>119.62820000000001</v>
      </c>
      <c r="C526" s="67">
        <f t="shared" si="319"/>
        <v>119.03005900000001</v>
      </c>
      <c r="D526" s="67">
        <f t="shared" si="320"/>
        <v>120.22634099999999</v>
      </c>
      <c r="E526" s="81">
        <f>3949.484/4893.543*100</f>
        <v>80.708067753772681</v>
      </c>
      <c r="F526" s="34">
        <v>293841.17</v>
      </c>
      <c r="G526" s="37">
        <f t="shared" si="314"/>
        <v>35.151690252994001</v>
      </c>
      <c r="H526" s="37">
        <v>3949.4839999999999</v>
      </c>
      <c r="I526" s="4"/>
      <c r="J526" s="4"/>
    </row>
    <row r="527" spans="1:10" ht="17.25" customHeight="1">
      <c r="A527" s="35">
        <v>40443</v>
      </c>
      <c r="B527" s="68">
        <v>118.25</v>
      </c>
      <c r="C527" s="67">
        <f t="shared" si="319"/>
        <v>117.65875</v>
      </c>
      <c r="D527" s="67">
        <f t="shared" si="320"/>
        <v>118.84124999999999</v>
      </c>
      <c r="E527" s="81">
        <f>3900.627/4893.543*100</f>
        <v>79.709670478015624</v>
      </c>
      <c r="F527" s="34">
        <v>289618.67</v>
      </c>
      <c r="G527" s="37">
        <f t="shared" si="314"/>
        <v>34.247407727499997</v>
      </c>
      <c r="H527" s="37">
        <v>3900.627</v>
      </c>
      <c r="I527" s="4"/>
      <c r="J527" s="4"/>
    </row>
    <row r="528" spans="1:10" ht="17.25" customHeight="1">
      <c r="A528" s="66">
        <v>40436</v>
      </c>
      <c r="B528" s="69">
        <v>116.74850000000001</v>
      </c>
      <c r="C528" s="67">
        <f t="shared" si="319"/>
        <v>116.16475750000001</v>
      </c>
      <c r="D528" s="67">
        <f t="shared" si="320"/>
        <v>117.33224249999999</v>
      </c>
      <c r="E528" s="81">
        <f>3861.698/4893.543*100</f>
        <v>78.914152792772029</v>
      </c>
      <c r="F528" s="59">
        <v>289618.67</v>
      </c>
      <c r="G528" s="37">
        <f t="shared" si="314"/>
        <v>33.812545294495003</v>
      </c>
      <c r="H528" s="30">
        <v>3861.6979999999999</v>
      </c>
      <c r="I528" s="4"/>
      <c r="J528" s="4"/>
    </row>
    <row r="529" spans="1:10" ht="17.25" customHeight="1">
      <c r="A529" s="29">
        <v>40429</v>
      </c>
      <c r="B529" s="71">
        <v>114.7829</v>
      </c>
      <c r="C529" s="67">
        <f t="shared" si="319"/>
        <v>114.2089855</v>
      </c>
      <c r="D529" s="67">
        <f t="shared" si="320"/>
        <v>115.35681449999998</v>
      </c>
      <c r="E529" s="81">
        <f>3758.545/4893.543*100</f>
        <v>76.806211777438151</v>
      </c>
      <c r="F529" s="31">
        <v>289618.67</v>
      </c>
      <c r="G529" s="37">
        <f t="shared" si="314"/>
        <v>33.243270836742994</v>
      </c>
      <c r="H529" s="37">
        <v>3758.5450000000001</v>
      </c>
      <c r="I529" s="4"/>
      <c r="J529" s="4"/>
    </row>
    <row r="530" spans="1:10" ht="17.25" customHeight="1">
      <c r="A530" s="29">
        <v>40422</v>
      </c>
      <c r="B530" s="71">
        <v>113.2148</v>
      </c>
      <c r="C530" s="67">
        <f>0.995*B530</f>
        <v>112.648726</v>
      </c>
      <c r="D530" s="67">
        <f>1.005*B530</f>
        <v>113.78087399999998</v>
      </c>
      <c r="E530" s="81">
        <f>3699.876/4893.543*100</f>
        <v>75.607305381806199</v>
      </c>
      <c r="F530" s="31">
        <v>289618.67</v>
      </c>
      <c r="G530" s="37">
        <f t="shared" si="314"/>
        <v>32.789119800316001</v>
      </c>
      <c r="H530" s="37">
        <v>3699.8760000000002</v>
      </c>
      <c r="I530" s="4"/>
      <c r="J530" s="4"/>
    </row>
    <row r="531" spans="1:10" s="15" customFormat="1" ht="17.25" customHeight="1">
      <c r="A531" s="66">
        <v>40415</v>
      </c>
      <c r="B531" s="69">
        <v>111.1788</v>
      </c>
      <c r="C531" s="70">
        <f t="shared" ref="C531:C538" si="321">0.995*B531</f>
        <v>110.622906</v>
      </c>
      <c r="D531" s="70">
        <f>1.005*B531</f>
        <v>111.73469399999999</v>
      </c>
      <c r="E531" s="81">
        <f>3572.458/4893.543*100</f>
        <v>73.003506866088642</v>
      </c>
      <c r="F531" s="59">
        <v>289618.67</v>
      </c>
      <c r="G531" s="30">
        <f t="shared" si="314"/>
        <v>32.199456188195995</v>
      </c>
      <c r="H531" s="30">
        <v>3572.4580000000001</v>
      </c>
      <c r="I531" s="14"/>
      <c r="J531" s="14"/>
    </row>
    <row r="532" spans="1:10" ht="17.25" customHeight="1">
      <c r="A532" s="29">
        <v>40408</v>
      </c>
      <c r="B532" s="71">
        <v>112.8205</v>
      </c>
      <c r="C532" s="67">
        <f t="shared" si="321"/>
        <v>112.25639749999999</v>
      </c>
      <c r="D532" s="67">
        <f t="shared" ref="D532:D539" si="322">1.005*B532</f>
        <v>113.38460249999999</v>
      </c>
      <c r="E532" s="81">
        <f>3723.974/4893.543*100</f>
        <v>76.099750221874018</v>
      </c>
      <c r="F532" s="31">
        <v>289618.67</v>
      </c>
      <c r="G532" s="37">
        <f t="shared" si="314"/>
        <v>32.674923158734998</v>
      </c>
      <c r="H532" s="37">
        <v>3723.9740000000002</v>
      </c>
      <c r="I532" s="4"/>
      <c r="J532" s="4"/>
    </row>
    <row r="533" spans="1:10" ht="17.25" customHeight="1">
      <c r="A533" s="29">
        <v>40401</v>
      </c>
      <c r="B533" s="71">
        <v>111.54470000000001</v>
      </c>
      <c r="C533" s="67">
        <f t="shared" si="321"/>
        <v>110.98697650000001</v>
      </c>
      <c r="D533" s="67">
        <f t="shared" si="322"/>
        <v>112.1024235</v>
      </c>
      <c r="E533" s="81">
        <f>3698.884/4893.543*100</f>
        <v>75.587033770828214</v>
      </c>
      <c r="F533" s="31">
        <v>289618.67</v>
      </c>
      <c r="G533" s="37">
        <f t="shared" si="314"/>
        <v>32.305427659549004</v>
      </c>
      <c r="H533" s="37">
        <v>3698.884</v>
      </c>
      <c r="I533" s="4"/>
      <c r="J533" s="4"/>
    </row>
    <row r="534" spans="1:10" ht="17.25" customHeight="1">
      <c r="A534" s="29">
        <v>40394</v>
      </c>
      <c r="B534" s="71">
        <v>113.5137</v>
      </c>
      <c r="C534" s="67">
        <f t="shared" si="321"/>
        <v>112.94613149999999</v>
      </c>
      <c r="D534" s="67">
        <f t="shared" si="322"/>
        <v>114.08126849999999</v>
      </c>
      <c r="E534" s="81">
        <f>3828.608/4893.543*100</f>
        <v>78.237955608032877</v>
      </c>
      <c r="F534" s="31">
        <v>289618.67</v>
      </c>
      <c r="G534" s="37">
        <f t="shared" si="314"/>
        <v>32.875686820779002</v>
      </c>
      <c r="H534" s="37">
        <v>3828.6080000000002</v>
      </c>
      <c r="I534" s="4"/>
      <c r="J534" s="4"/>
    </row>
    <row r="535" spans="1:10" ht="17.25" customHeight="1">
      <c r="A535" s="29">
        <v>40387</v>
      </c>
      <c r="B535" s="71">
        <v>111.9127</v>
      </c>
      <c r="C535" s="67">
        <f t="shared" si="321"/>
        <v>111.35313650000001</v>
      </c>
      <c r="D535" s="67">
        <f t="shared" si="322"/>
        <v>112.47226349999998</v>
      </c>
      <c r="E535" s="81">
        <f>3749.155/4893.543*100</f>
        <v>76.614326266265579</v>
      </c>
      <c r="F535" s="31">
        <v>289618.67</v>
      </c>
      <c r="G535" s="37">
        <f t="shared" si="314"/>
        <v>32.412007330108999</v>
      </c>
      <c r="H535" s="37">
        <v>3749.1550000000002</v>
      </c>
      <c r="I535" s="4"/>
      <c r="J535" s="4"/>
    </row>
    <row r="536" spans="1:10" ht="17.25" customHeight="1">
      <c r="A536" s="29">
        <v>40380</v>
      </c>
      <c r="B536" s="71">
        <v>110.8021</v>
      </c>
      <c r="C536" s="67">
        <f t="shared" si="321"/>
        <v>110.24808949999999</v>
      </c>
      <c r="D536" s="67">
        <f t="shared" si="322"/>
        <v>111.35611049999999</v>
      </c>
      <c r="E536" s="81">
        <f>3612.519/4893.543*100</f>
        <v>73.822157075149846</v>
      </c>
      <c r="F536" s="31">
        <v>289618.67</v>
      </c>
      <c r="G536" s="37">
        <f t="shared" ref="G536:G559" si="323">F536*B536/1000000</f>
        <v>32.090356835206997</v>
      </c>
      <c r="H536" s="37">
        <v>3612.5189999999998</v>
      </c>
      <c r="I536" s="4"/>
      <c r="J536" s="4"/>
    </row>
    <row r="537" spans="1:10" ht="17.25" customHeight="1">
      <c r="A537" s="29">
        <v>40373</v>
      </c>
      <c r="B537" s="71">
        <v>112.8062</v>
      </c>
      <c r="C537" s="67">
        <f t="shared" si="321"/>
        <v>112.242169</v>
      </c>
      <c r="D537" s="67">
        <f t="shared" si="322"/>
        <v>113.37023099999999</v>
      </c>
      <c r="E537" s="81">
        <f>3693.993/4893.543*100</f>
        <v>75.48708573726644</v>
      </c>
      <c r="F537" s="31">
        <v>289618.67</v>
      </c>
      <c r="G537" s="37">
        <f t="shared" si="323"/>
        <v>32.670781611754002</v>
      </c>
      <c r="H537" s="37">
        <v>3693.9929999999999</v>
      </c>
      <c r="I537" s="4"/>
      <c r="J537" s="4"/>
    </row>
    <row r="538" spans="1:10" s="15" customFormat="1" ht="17.25" customHeight="1">
      <c r="A538" s="29">
        <v>40366</v>
      </c>
      <c r="B538" s="71">
        <v>110.19889999999999</v>
      </c>
      <c r="C538" s="67">
        <f t="shared" si="321"/>
        <v>109.64790549999999</v>
      </c>
      <c r="D538" s="67">
        <f t="shared" si="322"/>
        <v>110.74989449999998</v>
      </c>
      <c r="E538" s="81">
        <f>3556.362/4893.543*100</f>
        <v>72.674583629897597</v>
      </c>
      <c r="F538" s="31">
        <v>280589.63</v>
      </c>
      <c r="G538" s="37">
        <f t="shared" si="323"/>
        <v>30.920668577407</v>
      </c>
      <c r="H538" s="37">
        <v>3556.3620000000001</v>
      </c>
      <c r="I538" s="14"/>
      <c r="J538" s="14"/>
    </row>
    <row r="539" spans="1:10" ht="17.25" customHeight="1">
      <c r="A539" s="29">
        <v>40359</v>
      </c>
      <c r="B539" s="71">
        <v>109.44759999999999</v>
      </c>
      <c r="C539" s="67">
        <f t="shared" ref="C539:C544" si="324">0.995*B539</f>
        <v>108.90036199999999</v>
      </c>
      <c r="D539" s="67">
        <f t="shared" si="322"/>
        <v>109.99483799999999</v>
      </c>
      <c r="E539" s="81">
        <f>3453.891/4893.543*100</f>
        <v>70.580579347111083</v>
      </c>
      <c r="F539" s="31">
        <v>280589.63</v>
      </c>
      <c r="G539" s="37">
        <f t="shared" si="323"/>
        <v>30.709861588387998</v>
      </c>
      <c r="H539" s="37">
        <v>3453.8910000000001</v>
      </c>
      <c r="I539" s="4"/>
      <c r="J539" s="4"/>
    </row>
    <row r="540" spans="1:10" s="15" customFormat="1" ht="17.25" customHeight="1">
      <c r="A540" s="29">
        <v>40352</v>
      </c>
      <c r="B540" s="71">
        <v>112.91670000000001</v>
      </c>
      <c r="C540" s="67">
        <f t="shared" si="324"/>
        <v>112.35211650000001</v>
      </c>
      <c r="D540" s="67">
        <f t="shared" ref="D540:D545" si="325">1.005*B540</f>
        <v>113.48128349999999</v>
      </c>
      <c r="E540" s="81">
        <f>3633.413/4893.543*100</f>
        <v>74.249127881373482</v>
      </c>
      <c r="F540" s="31">
        <v>280589.63</v>
      </c>
      <c r="G540" s="37">
        <f t="shared" si="323"/>
        <v>31.683255073821002</v>
      </c>
      <c r="H540" s="37">
        <v>3633.413</v>
      </c>
      <c r="I540" s="14"/>
      <c r="J540" s="14"/>
    </row>
    <row r="541" spans="1:10" s="15" customFormat="1" ht="17.25" customHeight="1">
      <c r="A541" s="29">
        <v>40345</v>
      </c>
      <c r="B541" s="71">
        <v>112.80200000000001</v>
      </c>
      <c r="C541" s="67">
        <f t="shared" si="324"/>
        <v>112.23799000000001</v>
      </c>
      <c r="D541" s="67">
        <f t="shared" si="325"/>
        <v>113.36600999999999</v>
      </c>
      <c r="E541" s="81">
        <f>3683.46/4893.543*100</f>
        <v>75.271842916267417</v>
      </c>
      <c r="F541" s="31">
        <v>280589.63</v>
      </c>
      <c r="G541" s="37">
        <f t="shared" si="323"/>
        <v>31.651071443260005</v>
      </c>
      <c r="H541" s="37">
        <v>3683.46</v>
      </c>
      <c r="I541" s="14"/>
      <c r="J541" s="14"/>
    </row>
    <row r="542" spans="1:10" s="15" customFormat="1" ht="17.25" customHeight="1">
      <c r="A542" s="29">
        <v>40338</v>
      </c>
      <c r="B542" s="71">
        <v>109.4986</v>
      </c>
      <c r="C542" s="67">
        <f t="shared" si="324"/>
        <v>108.95110699999999</v>
      </c>
      <c r="D542" s="67">
        <f t="shared" si="325"/>
        <v>110.04609299999998</v>
      </c>
      <c r="E542" s="81">
        <f>3480.487/4893.543*100</f>
        <v>71.124071046274665</v>
      </c>
      <c r="F542" s="31">
        <v>280589.63</v>
      </c>
      <c r="G542" s="37">
        <f t="shared" si="323"/>
        <v>30.724171659517999</v>
      </c>
      <c r="H542" s="37">
        <v>3480.4870000000001</v>
      </c>
      <c r="I542" s="14"/>
      <c r="J542" s="14"/>
    </row>
    <row r="543" spans="1:10" s="15" customFormat="1" ht="17.25" customHeight="1">
      <c r="A543" s="29">
        <v>40331</v>
      </c>
      <c r="B543" s="71">
        <v>111.1332</v>
      </c>
      <c r="C543" s="67">
        <f t="shared" si="324"/>
        <v>110.577534</v>
      </c>
      <c r="D543" s="67">
        <f t="shared" si="325"/>
        <v>111.68886599999999</v>
      </c>
      <c r="E543" s="81">
        <f>3574.875/4893.543*100</f>
        <v>73.052898482755751</v>
      </c>
      <c r="F543" s="31">
        <v>280589.63</v>
      </c>
      <c r="G543" s="37">
        <f t="shared" si="323"/>
        <v>31.182823468715998</v>
      </c>
      <c r="H543" s="37">
        <v>3574.875</v>
      </c>
      <c r="I543" s="14"/>
      <c r="J543" s="14"/>
    </row>
    <row r="544" spans="1:10" s="15" customFormat="1" ht="17.25" customHeight="1">
      <c r="A544" s="29">
        <v>40324</v>
      </c>
      <c r="B544" s="71">
        <v>108.7132</v>
      </c>
      <c r="C544" s="67">
        <f t="shared" si="324"/>
        <v>108.169634</v>
      </c>
      <c r="D544" s="67">
        <f t="shared" si="325"/>
        <v>109.25676599999998</v>
      </c>
      <c r="E544" s="81">
        <f>3485.517/4893.543*100</f>
        <v>71.226859557584348</v>
      </c>
      <c r="F544" s="31">
        <v>245347.61</v>
      </c>
      <c r="G544" s="37">
        <f t="shared" si="323"/>
        <v>26.672523795451998</v>
      </c>
      <c r="H544" s="37">
        <v>3485.5169999999998</v>
      </c>
      <c r="I544" s="14"/>
      <c r="J544" s="14"/>
    </row>
    <row r="545" spans="1:10" s="15" customFormat="1" ht="17.25" customHeight="1">
      <c r="A545" s="29">
        <v>40317</v>
      </c>
      <c r="B545" s="71">
        <v>111.9854</v>
      </c>
      <c r="C545" s="67">
        <f t="shared" ref="C545:C551" si="326">0.995*B545</f>
        <v>111.425473</v>
      </c>
      <c r="D545" s="67">
        <f t="shared" si="325"/>
        <v>112.54532699999999</v>
      </c>
      <c r="E545" s="81">
        <f>3622.937/4893.543*100</f>
        <v>74.035049860602015</v>
      </c>
      <c r="F545" s="31">
        <v>218634.05</v>
      </c>
      <c r="G545" s="37">
        <f t="shared" si="323"/>
        <v>24.48382154287</v>
      </c>
      <c r="H545" s="37">
        <v>3622.9369999999999</v>
      </c>
      <c r="I545" s="14"/>
      <c r="J545" s="14"/>
    </row>
    <row r="546" spans="1:10" s="15" customFormat="1" ht="17.25" customHeight="1">
      <c r="A546" s="29">
        <v>40310</v>
      </c>
      <c r="B546" s="71">
        <v>116.8938</v>
      </c>
      <c r="C546" s="67">
        <f t="shared" si="326"/>
        <v>116.309331</v>
      </c>
      <c r="D546" s="67">
        <f t="shared" ref="D546:D551" si="327">1.005*B546</f>
        <v>117.47826899999998</v>
      </c>
      <c r="E546" s="81">
        <f>3828.497/4893.543*100</f>
        <v>78.235687312852875</v>
      </c>
      <c r="F546" s="31">
        <v>218634.05</v>
      </c>
      <c r="G546" s="37">
        <f t="shared" si="323"/>
        <v>25.556964913889995</v>
      </c>
      <c r="H546" s="37">
        <v>3828.4969999999998</v>
      </c>
      <c r="I546" s="14"/>
      <c r="J546" s="14"/>
    </row>
    <row r="547" spans="1:10" s="15" customFormat="1" ht="17.25" customHeight="1">
      <c r="A547" s="29">
        <v>40303</v>
      </c>
      <c r="B547" s="63">
        <v>116.09</v>
      </c>
      <c r="C547" s="37">
        <f t="shared" si="326"/>
        <v>115.50955</v>
      </c>
      <c r="D547" s="37">
        <f t="shared" si="327"/>
        <v>116.67044999999999</v>
      </c>
      <c r="E547" s="81">
        <f>3820.255/4893.543*100</f>
        <v>78.067261286965291</v>
      </c>
      <c r="F547" s="31">
        <v>218634.05</v>
      </c>
      <c r="G547" s="37">
        <f t="shared" si="323"/>
        <v>25.3812268645</v>
      </c>
      <c r="H547" s="37">
        <v>3820.2550000000001</v>
      </c>
      <c r="I547" s="14"/>
      <c r="J547" s="14"/>
    </row>
    <row r="548" spans="1:10" s="15" customFormat="1" ht="17.25" customHeight="1">
      <c r="A548" s="29">
        <v>40296</v>
      </c>
      <c r="B548" s="63">
        <v>118.03</v>
      </c>
      <c r="C548" s="37">
        <f t="shared" si="326"/>
        <v>117.43985000000001</v>
      </c>
      <c r="D548" s="37">
        <f t="shared" si="327"/>
        <v>118.62015</v>
      </c>
      <c r="E548" s="81">
        <f>3933.771/4893.543*100</f>
        <v>80.386971157707222</v>
      </c>
      <c r="F548" s="31">
        <v>218634.05</v>
      </c>
      <c r="G548" s="37">
        <f t="shared" si="323"/>
        <v>25.805376921499999</v>
      </c>
      <c r="H548" s="37">
        <v>3933.7710000000002</v>
      </c>
      <c r="I548" s="14"/>
      <c r="J548" s="14"/>
    </row>
    <row r="549" spans="1:10" s="15" customFormat="1" ht="17.25" customHeight="1">
      <c r="A549" s="29">
        <v>40289</v>
      </c>
      <c r="B549" s="63">
        <v>117.99</v>
      </c>
      <c r="C549" s="37">
        <f t="shared" si="326"/>
        <v>117.40004999999999</v>
      </c>
      <c r="D549" s="37">
        <f t="shared" si="327"/>
        <v>118.57994999999998</v>
      </c>
      <c r="E549" s="81">
        <f>4033.961/4893.543*100</f>
        <v>82.434362996299413</v>
      </c>
      <c r="F549" s="31">
        <v>218634.05</v>
      </c>
      <c r="G549" s="37">
        <f t="shared" si="323"/>
        <v>25.796631559499996</v>
      </c>
      <c r="H549" s="37">
        <v>4033.9609999999998</v>
      </c>
      <c r="I549" s="14"/>
      <c r="J549" s="14"/>
    </row>
    <row r="550" spans="1:10" s="15" customFormat="1" ht="17.25" customHeight="1">
      <c r="A550" s="29">
        <v>40282</v>
      </c>
      <c r="B550" s="63">
        <v>118.29</v>
      </c>
      <c r="C550" s="37">
        <f t="shared" si="326"/>
        <v>117.69855000000001</v>
      </c>
      <c r="D550" s="37">
        <f t="shared" si="327"/>
        <v>118.88144999999999</v>
      </c>
      <c r="E550" s="81">
        <f>4077.718/4893.543*100</f>
        <v>83.328541304326947</v>
      </c>
      <c r="F550" s="31">
        <v>218634.05</v>
      </c>
      <c r="G550" s="37">
        <f t="shared" si="323"/>
        <v>25.8622217745</v>
      </c>
      <c r="H550" s="37">
        <v>4077.7179999999998</v>
      </c>
      <c r="I550" s="14"/>
      <c r="J550" s="14"/>
    </row>
    <row r="551" spans="1:10" s="15" customFormat="1" ht="17.25" customHeight="1">
      <c r="A551" s="29">
        <v>40275</v>
      </c>
      <c r="B551" s="64">
        <v>116.91</v>
      </c>
      <c r="C551" s="30">
        <f t="shared" si="326"/>
        <v>116.32544999999999</v>
      </c>
      <c r="D551" s="30">
        <f t="shared" si="327"/>
        <v>117.49454999999999</v>
      </c>
      <c r="E551" s="81">
        <f>3990.967/4893.543*100</f>
        <v>81.555776663247883</v>
      </c>
      <c r="F551" s="59">
        <v>218634.05</v>
      </c>
      <c r="G551" s="32">
        <f t="shared" si="323"/>
        <v>25.560506785499996</v>
      </c>
      <c r="H551" s="30">
        <v>3990.9670000000001</v>
      </c>
      <c r="I551" s="14"/>
      <c r="J551" s="14"/>
    </row>
    <row r="552" spans="1:10" s="15" customFormat="1" ht="17.25" customHeight="1">
      <c r="A552" s="29">
        <v>40268</v>
      </c>
      <c r="B552" s="63">
        <v>114.17</v>
      </c>
      <c r="C552" s="30">
        <f t="shared" ref="C552:C559" si="328">0.995*B552</f>
        <v>113.59914999999999</v>
      </c>
      <c r="D552" s="30">
        <f t="shared" ref="D552:D559" si="329">1.005*B552</f>
        <v>114.74084999999999</v>
      </c>
      <c r="E552" s="81">
        <f>3946.96/4893.543*100</f>
        <v>80.656489582292423</v>
      </c>
      <c r="F552" s="31">
        <v>218634.05</v>
      </c>
      <c r="G552" s="32">
        <f t="shared" si="323"/>
        <v>24.961449488499998</v>
      </c>
      <c r="H552" s="30">
        <v>3946.96</v>
      </c>
      <c r="I552" s="14"/>
      <c r="J552" s="14"/>
    </row>
    <row r="553" spans="1:10" s="15" customFormat="1" ht="17.25" customHeight="1">
      <c r="A553" s="33">
        <v>40261</v>
      </c>
      <c r="B553" s="63">
        <v>112.52</v>
      </c>
      <c r="C553" s="30">
        <f t="shared" si="328"/>
        <v>111.95739999999999</v>
      </c>
      <c r="D553" s="30">
        <f t="shared" si="329"/>
        <v>113.08259999999999</v>
      </c>
      <c r="E553" s="81">
        <f>3908.406/4893.543*100</f>
        <v>79.868635056440709</v>
      </c>
      <c r="F553" s="31">
        <v>218634.05</v>
      </c>
      <c r="G553" s="32">
        <f t="shared" si="323"/>
        <v>24.600703306</v>
      </c>
      <c r="H553" s="30">
        <v>3908.4059999999999</v>
      </c>
      <c r="I553" s="14"/>
      <c r="J553" s="14"/>
    </row>
    <row r="554" spans="1:10" s="15" customFormat="1" ht="17.25" customHeight="1">
      <c r="A554" s="33">
        <v>40254</v>
      </c>
      <c r="B554" s="63">
        <v>113.63</v>
      </c>
      <c r="C554" s="30">
        <f t="shared" si="328"/>
        <v>113.06184999999999</v>
      </c>
      <c r="D554" s="30">
        <f t="shared" si="329"/>
        <v>114.19814999999998</v>
      </c>
      <c r="E554" s="81">
        <f>3947.595/4893.543*100</f>
        <v>80.669465865529332</v>
      </c>
      <c r="F554" s="31">
        <v>210782.79</v>
      </c>
      <c r="G554" s="32">
        <f t="shared" si="323"/>
        <v>23.951248427700001</v>
      </c>
      <c r="H554" s="30">
        <v>3947.5949999999998</v>
      </c>
      <c r="I554" s="14"/>
      <c r="J554" s="14"/>
    </row>
    <row r="555" spans="1:10" ht="17.25" customHeight="1">
      <c r="A555" s="33">
        <v>40247</v>
      </c>
      <c r="B555" s="63">
        <v>112.09</v>
      </c>
      <c r="C555" s="30">
        <f t="shared" si="328"/>
        <v>111.52955</v>
      </c>
      <c r="D555" s="30">
        <f t="shared" si="329"/>
        <v>112.65044999999999</v>
      </c>
      <c r="E555" s="81">
        <f>3873.371/4893.543*100</f>
        <v>79.152691618322351</v>
      </c>
      <c r="F555" s="31">
        <v>210782.79</v>
      </c>
      <c r="G555" s="32">
        <f t="shared" si="323"/>
        <v>23.626642931100005</v>
      </c>
      <c r="H555" s="30">
        <v>3873.3710000000001</v>
      </c>
      <c r="I555" s="4"/>
      <c r="J555" s="4"/>
    </row>
    <row r="556" spans="1:10" s="15" customFormat="1" ht="17.25" customHeight="1">
      <c r="A556" s="33">
        <v>40240</v>
      </c>
      <c r="B556" s="63">
        <v>112.23</v>
      </c>
      <c r="C556" s="30">
        <f t="shared" si="328"/>
        <v>111.66885000000001</v>
      </c>
      <c r="D556" s="30">
        <f t="shared" si="329"/>
        <v>112.79114999999999</v>
      </c>
      <c r="E556" s="81">
        <f>3795.677/4893.543*100</f>
        <v>77.56500760287588</v>
      </c>
      <c r="F556" s="31">
        <v>210782.79</v>
      </c>
      <c r="G556" s="32">
        <f t="shared" si="323"/>
        <v>23.656152521700001</v>
      </c>
      <c r="H556" s="30">
        <v>3795.6770000000001</v>
      </c>
      <c r="I556" s="14"/>
      <c r="J556" s="14"/>
    </row>
    <row r="557" spans="1:10" s="15" customFormat="1" ht="17.25" customHeight="1">
      <c r="A557" s="33">
        <v>40233</v>
      </c>
      <c r="B557" s="63">
        <v>109.88</v>
      </c>
      <c r="C557" s="30">
        <f t="shared" si="328"/>
        <v>109.33059999999999</v>
      </c>
      <c r="D557" s="30">
        <f t="shared" si="329"/>
        <v>110.42939999999999</v>
      </c>
      <c r="E557" s="81">
        <f>3713.771/4893.543*100</f>
        <v>75.891250981139848</v>
      </c>
      <c r="F557" s="31">
        <v>210782.79</v>
      </c>
      <c r="G557" s="32">
        <f t="shared" si="323"/>
        <v>23.160812965199998</v>
      </c>
      <c r="H557" s="30">
        <v>3713.7710000000002</v>
      </c>
      <c r="I557" s="14"/>
      <c r="J557" s="14"/>
    </row>
    <row r="558" spans="1:10" s="15" customFormat="1" ht="17.25" customHeight="1">
      <c r="A558" s="33">
        <v>40226</v>
      </c>
      <c r="B558" s="63">
        <v>110.38</v>
      </c>
      <c r="C558" s="30">
        <f t="shared" si="328"/>
        <v>109.82809999999999</v>
      </c>
      <c r="D558" s="30">
        <f t="shared" si="329"/>
        <v>110.93189999999998</v>
      </c>
      <c r="E558" s="81">
        <f>3713.987/4893.543*100</f>
        <v>75.895664960949574</v>
      </c>
      <c r="F558" s="31">
        <v>210782.79</v>
      </c>
      <c r="G558" s="32">
        <f t="shared" si="323"/>
        <v>23.2662043602</v>
      </c>
      <c r="H558" s="30">
        <v>3713.9870000000001</v>
      </c>
      <c r="I558" s="14"/>
      <c r="J558" s="14"/>
    </row>
    <row r="559" spans="1:10" ht="17.25" customHeight="1">
      <c r="A559" s="33">
        <v>40219</v>
      </c>
      <c r="B559" s="63">
        <v>107.83</v>
      </c>
      <c r="C559" s="30">
        <f t="shared" si="328"/>
        <v>107.29084999999999</v>
      </c>
      <c r="D559" s="30">
        <f t="shared" si="329"/>
        <v>108.36914999999999</v>
      </c>
      <c r="E559" s="81">
        <f>3606.043/4893.543*100</f>
        <v>73.689819421225081</v>
      </c>
      <c r="F559" s="31">
        <v>201555.29</v>
      </c>
      <c r="G559" s="32">
        <f t="shared" si="323"/>
        <v>21.733706920699998</v>
      </c>
      <c r="H559" s="30">
        <v>3606.0430000000001</v>
      </c>
      <c r="I559" s="4"/>
      <c r="J559" s="4"/>
    </row>
    <row r="560" spans="1:10" ht="17.25" customHeight="1">
      <c r="A560" s="33">
        <v>40212</v>
      </c>
      <c r="B560" s="63">
        <v>110.28</v>
      </c>
      <c r="C560" s="30">
        <f t="shared" ref="C560:C566" si="330">0.995*B560</f>
        <v>109.7286</v>
      </c>
      <c r="D560" s="30">
        <f t="shared" ref="D560:D565" si="331">1.005*B560</f>
        <v>110.83139999999999</v>
      </c>
      <c r="E560" s="81">
        <f>3726.456/4893.543*100</f>
        <v>76.150470119502373</v>
      </c>
      <c r="F560" s="31">
        <v>201555.29</v>
      </c>
      <c r="G560" s="32">
        <f t="shared" ref="G560:G565" si="332">F560*B560/1000000</f>
        <v>22.227517381200002</v>
      </c>
      <c r="H560" s="30">
        <v>3726.4560000000001</v>
      </c>
      <c r="I560" s="4"/>
      <c r="J560" s="4"/>
    </row>
    <row r="561" spans="1:10" ht="17.25" customHeight="1">
      <c r="A561" s="33">
        <v>40205</v>
      </c>
      <c r="B561" s="65">
        <v>109.82</v>
      </c>
      <c r="C561" s="30">
        <f t="shared" si="330"/>
        <v>109.2709</v>
      </c>
      <c r="D561" s="30">
        <f t="shared" si="331"/>
        <v>110.36909999999997</v>
      </c>
      <c r="E561" s="81">
        <f>3729.324/4893.543*100</f>
        <v>76.209077962531452</v>
      </c>
      <c r="F561" s="31">
        <v>197877.07</v>
      </c>
      <c r="G561" s="32">
        <f t="shared" si="332"/>
        <v>21.7308598274</v>
      </c>
      <c r="H561" s="30">
        <v>3729.3240000000001</v>
      </c>
      <c r="I561" s="4"/>
      <c r="J561" s="4"/>
    </row>
    <row r="562" spans="1:10" ht="17.25" customHeight="1">
      <c r="A562" s="33">
        <v>40198</v>
      </c>
      <c r="B562" s="65">
        <v>113.58</v>
      </c>
      <c r="C562" s="30">
        <f t="shared" si="330"/>
        <v>113.0121</v>
      </c>
      <c r="D562" s="30">
        <f t="shared" si="331"/>
        <v>114.14789999999999</v>
      </c>
      <c r="E562" s="81">
        <f>3873.151/4893.543*100</f>
        <v>79.148195898145772</v>
      </c>
      <c r="F562" s="34">
        <v>196043.57</v>
      </c>
      <c r="G562" s="32">
        <f t="shared" si="332"/>
        <v>22.2666286806</v>
      </c>
      <c r="H562" s="30">
        <v>3873.1509999999998</v>
      </c>
      <c r="I562" s="4"/>
      <c r="J562" s="4"/>
    </row>
    <row r="563" spans="1:10" ht="17.25" customHeight="1">
      <c r="A563" s="33">
        <v>40191</v>
      </c>
      <c r="B563" s="65">
        <v>114.32</v>
      </c>
      <c r="C563" s="30">
        <f t="shared" si="330"/>
        <v>113.74839999999999</v>
      </c>
      <c r="D563" s="30">
        <f t="shared" si="331"/>
        <v>114.89159999999998</v>
      </c>
      <c r="E563" s="81">
        <f>3928.576/4893.543*100</f>
        <v>80.280810856265077</v>
      </c>
      <c r="F563" s="34">
        <v>196043.57</v>
      </c>
      <c r="G563" s="32">
        <f t="shared" si="332"/>
        <v>22.411700922399998</v>
      </c>
      <c r="H563" s="30">
        <v>3928.576</v>
      </c>
      <c r="I563" s="4"/>
      <c r="J563" s="4"/>
    </row>
    <row r="564" spans="1:10" ht="17.25" customHeight="1">
      <c r="A564" s="33">
        <v>40184</v>
      </c>
      <c r="B564" s="65">
        <v>113.04</v>
      </c>
      <c r="C564" s="30">
        <f t="shared" si="330"/>
        <v>112.4748</v>
      </c>
      <c r="D564" s="30">
        <f t="shared" si="331"/>
        <v>113.6052</v>
      </c>
      <c r="E564" s="81">
        <f>3901.754/4893.543*100</f>
        <v>79.732700826374682</v>
      </c>
      <c r="F564" s="34">
        <v>196043.57</v>
      </c>
      <c r="G564" s="32">
        <f t="shared" si="332"/>
        <v>22.1607651528</v>
      </c>
      <c r="H564" s="30">
        <v>3901.7539999999999</v>
      </c>
      <c r="I564" s="4"/>
      <c r="J564" s="4"/>
    </row>
    <row r="565" spans="1:10" s="22" customFormat="1" ht="17.25" customHeight="1">
      <c r="A565" s="35">
        <v>40178</v>
      </c>
      <c r="B565" s="65">
        <v>110.39</v>
      </c>
      <c r="C565" s="30">
        <f t="shared" si="330"/>
        <v>109.83805</v>
      </c>
      <c r="D565" s="30">
        <f t="shared" si="331"/>
        <v>110.94194999999999</v>
      </c>
      <c r="E565" s="81">
        <f>3818.859/4893.543*100</f>
        <v>78.038733898935803</v>
      </c>
      <c r="F565" s="34">
        <v>196043.56909999999</v>
      </c>
      <c r="G565" s="32">
        <f t="shared" si="332"/>
        <v>21.641249592948999</v>
      </c>
      <c r="H565" s="30">
        <v>3818.8589999999999</v>
      </c>
      <c r="I565" s="21"/>
      <c r="J565" s="21"/>
    </row>
    <row r="566" spans="1:10" s="18" customFormat="1" ht="17.25" customHeight="1">
      <c r="A566" s="36">
        <v>40171</v>
      </c>
      <c r="B566" s="30">
        <v>110.7</v>
      </c>
      <c r="C566" s="37">
        <f t="shared" si="330"/>
        <v>110.1465</v>
      </c>
      <c r="D566" s="37">
        <f t="shared" ref="D566:D571" si="333">1.005*B566</f>
        <v>111.25349999999999</v>
      </c>
      <c r="E566" s="81">
        <f>3829.458/4893.543*100</f>
        <v>78.2553254359878</v>
      </c>
      <c r="F566" s="34">
        <v>197030.6054</v>
      </c>
      <c r="G566" s="32">
        <f t="shared" ref="G566:G629" si="334">F566*B566/1000000</f>
        <v>21.811288017780001</v>
      </c>
      <c r="H566" s="37">
        <v>3829.4580000000001</v>
      </c>
      <c r="I566" s="17"/>
      <c r="J566" s="17"/>
    </row>
    <row r="567" spans="1:10" s="18" customFormat="1" ht="17.25" customHeight="1">
      <c r="A567" s="36">
        <v>40164</v>
      </c>
      <c r="B567" s="30">
        <v>109.3</v>
      </c>
      <c r="C567" s="37">
        <f t="shared" ref="C567:C617" si="335">0.995*B567</f>
        <v>108.7535</v>
      </c>
      <c r="D567" s="37">
        <f t="shared" si="333"/>
        <v>109.84649999999999</v>
      </c>
      <c r="E567" s="81">
        <f>3740.887/4893.543*100</f>
        <v>76.445368927993485</v>
      </c>
      <c r="F567" s="34">
        <v>197030.61</v>
      </c>
      <c r="G567" s="32">
        <f t="shared" si="334"/>
        <v>21.535445672999998</v>
      </c>
      <c r="H567" s="37">
        <v>3740.8870000000002</v>
      </c>
      <c r="I567" s="17"/>
      <c r="J567" s="17"/>
    </row>
    <row r="568" spans="1:10" s="18" customFormat="1" ht="17.25" customHeight="1">
      <c r="A568" s="36">
        <v>40157</v>
      </c>
      <c r="B568" s="30">
        <v>110.29</v>
      </c>
      <c r="C568" s="37">
        <f t="shared" si="335"/>
        <v>109.73855</v>
      </c>
      <c r="D568" s="37">
        <f t="shared" si="333"/>
        <v>110.84144999999999</v>
      </c>
      <c r="E568" s="81">
        <f>3768.327/4893.543*100</f>
        <v>77.006107844561711</v>
      </c>
      <c r="F568" s="34">
        <v>197030.61</v>
      </c>
      <c r="G568" s="32">
        <f t="shared" si="334"/>
        <v>21.730505976900002</v>
      </c>
      <c r="H568" s="37">
        <v>3768.3270000000002</v>
      </c>
      <c r="I568" s="17"/>
      <c r="J568" s="17"/>
    </row>
    <row r="569" spans="1:10" ht="17.25" customHeight="1">
      <c r="A569" s="36">
        <v>40150</v>
      </c>
      <c r="B569" s="30">
        <v>112.98</v>
      </c>
      <c r="C569" s="37">
        <f t="shared" si="335"/>
        <v>112.41510000000001</v>
      </c>
      <c r="D569" s="37">
        <f t="shared" si="333"/>
        <v>113.5449</v>
      </c>
      <c r="E569" s="81">
        <f>3821.326/4893.543*100</f>
        <v>78.089147270188491</v>
      </c>
      <c r="F569" s="34">
        <v>197030.61</v>
      </c>
      <c r="G569" s="32">
        <f t="shared" si="334"/>
        <v>22.260518317799999</v>
      </c>
      <c r="H569" s="37">
        <v>3821.326</v>
      </c>
      <c r="I569" s="4"/>
      <c r="J569" s="4"/>
    </row>
    <row r="570" spans="1:10" s="18" customFormat="1" ht="17.25" customHeight="1">
      <c r="A570" s="36">
        <v>40143</v>
      </c>
      <c r="B570" s="30">
        <v>111.01</v>
      </c>
      <c r="C570" s="37">
        <f t="shared" si="335"/>
        <v>110.45495000000001</v>
      </c>
      <c r="D570" s="37">
        <f t="shared" si="333"/>
        <v>111.56505</v>
      </c>
      <c r="E570" s="81">
        <f>3768.701/4893.543*100</f>
        <v>77.013750568861866</v>
      </c>
      <c r="F570" s="34">
        <v>197030.61</v>
      </c>
      <c r="G570" s="32">
        <f t="shared" si="334"/>
        <v>21.872368016100001</v>
      </c>
      <c r="H570" s="37">
        <v>3768.701</v>
      </c>
      <c r="I570" s="17"/>
      <c r="J570" s="17"/>
    </row>
    <row r="571" spans="1:10" s="18" customFormat="1" ht="17.25" customHeight="1">
      <c r="A571" s="36">
        <v>40136</v>
      </c>
      <c r="B571" s="30">
        <v>109.82</v>
      </c>
      <c r="C571" s="37">
        <f t="shared" si="335"/>
        <v>109.2709</v>
      </c>
      <c r="D571" s="37">
        <f t="shared" si="333"/>
        <v>110.36909999999997</v>
      </c>
      <c r="E571" s="81">
        <f>3757.917/4893.543*100</f>
        <v>76.793378539843232</v>
      </c>
      <c r="F571" s="34">
        <v>197030.61</v>
      </c>
      <c r="G571" s="32">
        <f t="shared" si="334"/>
        <v>21.637901590199995</v>
      </c>
      <c r="H571" s="37">
        <v>3757.9169999999999</v>
      </c>
      <c r="I571" s="17"/>
      <c r="J571" s="17"/>
    </row>
    <row r="572" spans="1:10" ht="17.25" customHeight="1">
      <c r="A572" s="36">
        <v>40129</v>
      </c>
      <c r="B572" s="30">
        <v>108.99</v>
      </c>
      <c r="C572" s="37">
        <f t="shared" si="335"/>
        <v>108.44504999999999</v>
      </c>
      <c r="D572" s="37">
        <f t="shared" ref="D572:D577" si="336">1.005*B572</f>
        <v>109.53494999999998</v>
      </c>
      <c r="E572" s="81">
        <f>3756.75/4893.543*100</f>
        <v>76.769530787815711</v>
      </c>
      <c r="F572" s="34">
        <v>197030.61</v>
      </c>
      <c r="G572" s="32">
        <f t="shared" si="334"/>
        <v>21.474366183899999</v>
      </c>
      <c r="H572" s="37">
        <v>3756.75</v>
      </c>
      <c r="I572" s="4"/>
      <c r="J572" s="4"/>
    </row>
    <row r="573" spans="1:10" s="18" customFormat="1" ht="17.25" customHeight="1">
      <c r="A573" s="36">
        <v>40122</v>
      </c>
      <c r="B573" s="30">
        <v>107.77</v>
      </c>
      <c r="C573" s="37">
        <f t="shared" si="335"/>
        <v>107.23115</v>
      </c>
      <c r="D573" s="37">
        <f t="shared" si="336"/>
        <v>108.30884999999998</v>
      </c>
      <c r="E573" s="81">
        <f>3675.321/4893.543*100</f>
        <v>75.105521704826145</v>
      </c>
      <c r="F573" s="34">
        <v>197030.61</v>
      </c>
      <c r="G573" s="32">
        <f t="shared" si="334"/>
        <v>21.233988839699997</v>
      </c>
      <c r="H573" s="37">
        <v>3675.3209999999999</v>
      </c>
      <c r="I573" s="17"/>
      <c r="J573" s="17"/>
    </row>
    <row r="574" spans="1:10" s="18" customFormat="1" ht="17.25" customHeight="1">
      <c r="A574" s="36">
        <v>40115</v>
      </c>
      <c r="B574" s="30">
        <v>106.99</v>
      </c>
      <c r="C574" s="37">
        <f t="shared" si="335"/>
        <v>106.45505</v>
      </c>
      <c r="D574" s="37">
        <f t="shared" si="336"/>
        <v>107.52494999999999</v>
      </c>
      <c r="E574" s="81">
        <f>3671.792/4893.543*100</f>
        <v>75.033406266175646</v>
      </c>
      <c r="F574" s="34">
        <v>197030.61</v>
      </c>
      <c r="G574" s="32">
        <f t="shared" si="334"/>
        <v>21.080304963899994</v>
      </c>
      <c r="H574" s="37">
        <v>3671.7919999999999</v>
      </c>
      <c r="I574" s="17"/>
      <c r="J574" s="17"/>
    </row>
    <row r="575" spans="1:10" s="18" customFormat="1" ht="17.25" customHeight="1">
      <c r="A575" s="36">
        <v>40108</v>
      </c>
      <c r="B575" s="30">
        <v>110.68</v>
      </c>
      <c r="C575" s="37">
        <f t="shared" si="335"/>
        <v>110.12660000000001</v>
      </c>
      <c r="D575" s="37">
        <f t="shared" si="336"/>
        <v>111.23339999999999</v>
      </c>
      <c r="E575" s="81">
        <f>3787.427/4893.543*100</f>
        <v>77.396418096254607</v>
      </c>
      <c r="F575" s="34">
        <v>197030.81</v>
      </c>
      <c r="G575" s="32">
        <f t="shared" si="334"/>
        <v>21.807370050799999</v>
      </c>
      <c r="H575" s="37">
        <v>3787.4270000000001</v>
      </c>
      <c r="I575" s="17"/>
      <c r="J575" s="17"/>
    </row>
    <row r="576" spans="1:10" s="18" customFormat="1" ht="17.25" customHeight="1">
      <c r="A576" s="36">
        <v>40101</v>
      </c>
      <c r="B576" s="30">
        <v>110.76</v>
      </c>
      <c r="C576" s="37">
        <f t="shared" si="335"/>
        <v>110.20620000000001</v>
      </c>
      <c r="D576" s="37">
        <f t="shared" si="336"/>
        <v>111.31379999999999</v>
      </c>
      <c r="E576" s="81">
        <f>3796.717/4893.543*100</f>
        <v>77.586260098256005</v>
      </c>
      <c r="F576" s="34">
        <v>197030.61</v>
      </c>
      <c r="G576" s="32">
        <f t="shared" si="334"/>
        <v>21.823110363600001</v>
      </c>
      <c r="H576" s="37">
        <v>3796.7170000000001</v>
      </c>
      <c r="I576" s="17"/>
      <c r="J576" s="17"/>
    </row>
    <row r="577" spans="1:10" ht="17.25" customHeight="1">
      <c r="A577" s="36">
        <v>40094</v>
      </c>
      <c r="B577" s="30">
        <v>108.97</v>
      </c>
      <c r="C577" s="37">
        <f t="shared" si="335"/>
        <v>108.42515</v>
      </c>
      <c r="D577" s="37">
        <f t="shared" si="336"/>
        <v>109.51484999999998</v>
      </c>
      <c r="E577" s="81">
        <f>3701.564/4893.543*100</f>
        <v>75.641799816615489</v>
      </c>
      <c r="F577" s="34">
        <v>197030.61</v>
      </c>
      <c r="G577" s="32">
        <f t="shared" si="334"/>
        <v>21.470425571699998</v>
      </c>
      <c r="H577" s="37">
        <v>3701.5639999999999</v>
      </c>
      <c r="I577" s="4"/>
      <c r="J577" s="4"/>
    </row>
    <row r="578" spans="1:10" ht="17.25" customHeight="1">
      <c r="A578" s="36">
        <v>40087</v>
      </c>
      <c r="B578" s="30">
        <v>104.95</v>
      </c>
      <c r="C578" s="37">
        <f t="shared" si="335"/>
        <v>104.42525000000001</v>
      </c>
      <c r="D578" s="37">
        <f t="shared" ref="D578:D583" si="337">1.005*B578</f>
        <v>105.47474999999999</v>
      </c>
      <c r="E578" s="81">
        <f>3584.715/4893.543*100</f>
        <v>73.253979785198581</v>
      </c>
      <c r="F578" s="34">
        <v>197030.61</v>
      </c>
      <c r="G578" s="32">
        <f t="shared" si="334"/>
        <v>20.678362519499998</v>
      </c>
      <c r="H578" s="37">
        <v>3584.7150000000001</v>
      </c>
      <c r="I578" s="4"/>
      <c r="J578" s="4"/>
    </row>
    <row r="579" spans="1:10" ht="17.25" customHeight="1">
      <c r="A579" s="36">
        <v>40080</v>
      </c>
      <c r="B579" s="30">
        <v>106.32</v>
      </c>
      <c r="C579" s="37">
        <f t="shared" si="335"/>
        <v>105.7884</v>
      </c>
      <c r="D579" s="37">
        <f t="shared" si="337"/>
        <v>106.85159999999998</v>
      </c>
      <c r="E579" s="81">
        <f>3649.23/4893.543*100</f>
        <v>74.572349726976967</v>
      </c>
      <c r="F579" s="34">
        <v>197030.61</v>
      </c>
      <c r="G579" s="32">
        <f t="shared" si="334"/>
        <v>20.948294455199999</v>
      </c>
      <c r="H579" s="37">
        <v>3649.23</v>
      </c>
      <c r="I579" s="4"/>
      <c r="J579" s="4"/>
    </row>
    <row r="580" spans="1:10" ht="17.25" customHeight="1">
      <c r="A580" s="36">
        <v>40073</v>
      </c>
      <c r="B580" s="30">
        <v>107.37</v>
      </c>
      <c r="C580" s="37">
        <f t="shared" si="335"/>
        <v>106.83315</v>
      </c>
      <c r="D580" s="37">
        <f t="shared" si="337"/>
        <v>107.90684999999999</v>
      </c>
      <c r="E580" s="81">
        <f>3711.201/4893.543*100</f>
        <v>75.838732795440862</v>
      </c>
      <c r="F580" s="34">
        <v>197030.61</v>
      </c>
      <c r="G580" s="32">
        <f t="shared" si="334"/>
        <v>21.155176595699999</v>
      </c>
      <c r="H580" s="37">
        <v>3711.201</v>
      </c>
      <c r="I580" s="4"/>
      <c r="J580" s="4"/>
    </row>
    <row r="581" spans="1:10" ht="17.25" customHeight="1">
      <c r="A581" s="36">
        <v>40066</v>
      </c>
      <c r="B581" s="30">
        <v>106.56</v>
      </c>
      <c r="C581" s="37">
        <f t="shared" si="335"/>
        <v>106.02720000000001</v>
      </c>
      <c r="D581" s="37">
        <f t="shared" si="337"/>
        <v>107.0928</v>
      </c>
      <c r="E581" s="81">
        <f>3620.929/4893.543*100</f>
        <v>73.994016196445003</v>
      </c>
      <c r="F581" s="34">
        <v>197031</v>
      </c>
      <c r="G581" s="32">
        <f t="shared" si="334"/>
        <v>20.99562336</v>
      </c>
      <c r="H581" s="37">
        <v>3620.9290000000001</v>
      </c>
      <c r="I581" s="4"/>
      <c r="J581" s="4"/>
    </row>
    <row r="582" spans="1:10" ht="17.25" customHeight="1">
      <c r="A582" s="36">
        <v>40059</v>
      </c>
      <c r="B582" s="30">
        <v>103.1</v>
      </c>
      <c r="C582" s="37">
        <f t="shared" si="335"/>
        <v>102.58449999999999</v>
      </c>
      <c r="D582" s="37">
        <f t="shared" si="337"/>
        <v>103.61549999999998</v>
      </c>
      <c r="E582" s="81">
        <f>3455.814/4893.543*100</f>
        <v>70.619876028472632</v>
      </c>
      <c r="F582" s="34">
        <v>197030.61</v>
      </c>
      <c r="G582" s="32">
        <f t="shared" si="334"/>
        <v>20.313855890999999</v>
      </c>
      <c r="H582" s="37">
        <v>3455.8139999999999</v>
      </c>
      <c r="I582" s="4"/>
      <c r="J582" s="4"/>
    </row>
    <row r="583" spans="1:10" ht="17.25" customHeight="1">
      <c r="A583" s="36">
        <v>40052</v>
      </c>
      <c r="B583" s="30">
        <v>102.57</v>
      </c>
      <c r="C583" s="37">
        <f t="shared" si="335"/>
        <v>102.05714999999999</v>
      </c>
      <c r="D583" s="37">
        <f t="shared" si="337"/>
        <v>103.08284999999998</v>
      </c>
      <c r="E583" s="81">
        <f>3523.692/4893.543*100</f>
        <v>72.006969183677356</v>
      </c>
      <c r="F583" s="34">
        <v>197030.61</v>
      </c>
      <c r="G583" s="32">
        <f t="shared" si="334"/>
        <v>20.209429667699997</v>
      </c>
      <c r="H583" s="37">
        <v>3523.692</v>
      </c>
      <c r="I583" s="4"/>
      <c r="J583" s="4"/>
    </row>
    <row r="584" spans="1:10" ht="17.25" customHeight="1">
      <c r="A584" s="36">
        <v>40045</v>
      </c>
      <c r="B584" s="30">
        <v>101.06</v>
      </c>
      <c r="C584" s="37">
        <f t="shared" si="335"/>
        <v>100.5547</v>
      </c>
      <c r="D584" s="37">
        <f t="shared" ref="D584:D589" si="338">1.005*B584</f>
        <v>101.56529999999999</v>
      </c>
      <c r="E584" s="81">
        <f>3448.818/4893.543*100</f>
        <v>70.476912126857798</v>
      </c>
      <c r="F584" s="34">
        <v>197006.09</v>
      </c>
      <c r="G584" s="32">
        <f t="shared" si="334"/>
        <v>19.909435455400001</v>
      </c>
      <c r="H584" s="37">
        <v>3448.8180000000002</v>
      </c>
      <c r="I584" s="4"/>
      <c r="J584" s="4"/>
    </row>
    <row r="585" spans="1:10" ht="17.25" customHeight="1">
      <c r="A585" s="36">
        <v>40038</v>
      </c>
      <c r="B585" s="30">
        <v>101.69</v>
      </c>
      <c r="C585" s="37">
        <f t="shared" si="335"/>
        <v>101.18155</v>
      </c>
      <c r="D585" s="37">
        <f t="shared" si="338"/>
        <v>102.19844999999998</v>
      </c>
      <c r="E585" s="81">
        <f>3472.469/4893.543*100</f>
        <v>70.960222480930497</v>
      </c>
      <c r="F585" s="34">
        <v>162758.23000000001</v>
      </c>
      <c r="G585" s="32">
        <f t="shared" si="334"/>
        <v>16.5508844087</v>
      </c>
      <c r="H585" s="37">
        <v>3472.4690000000001</v>
      </c>
      <c r="I585" s="4"/>
      <c r="J585" s="4"/>
    </row>
    <row r="586" spans="1:10" s="18" customFormat="1" ht="17.25" customHeight="1">
      <c r="A586" s="36">
        <v>40031</v>
      </c>
      <c r="B586" s="30">
        <v>100.81</v>
      </c>
      <c r="C586" s="37">
        <f t="shared" si="335"/>
        <v>100.30595</v>
      </c>
      <c r="D586" s="37">
        <f t="shared" si="338"/>
        <v>101.31404999999999</v>
      </c>
      <c r="E586" s="81">
        <f>3432.067/4893.543*100</f>
        <v>70.134603905595611</v>
      </c>
      <c r="F586" s="34">
        <v>161771</v>
      </c>
      <c r="G586" s="32">
        <f t="shared" si="334"/>
        <v>16.308134509999999</v>
      </c>
      <c r="H586" s="37">
        <v>3432.067</v>
      </c>
      <c r="I586" s="17"/>
      <c r="J586" s="17"/>
    </row>
    <row r="587" spans="1:10" s="18" customFormat="1" ht="17.25" customHeight="1">
      <c r="A587" s="36">
        <v>40024</v>
      </c>
      <c r="B587" s="30">
        <v>97.82</v>
      </c>
      <c r="C587" s="37">
        <f t="shared" si="335"/>
        <v>97.3309</v>
      </c>
      <c r="D587" s="37">
        <f t="shared" si="338"/>
        <v>98.309099999999987</v>
      </c>
      <c r="E587" s="81">
        <f>3363.688/4893.543*100</f>
        <v>68.737272769443337</v>
      </c>
      <c r="F587" s="34">
        <v>161771.20000000001</v>
      </c>
      <c r="G587" s="32">
        <f t="shared" si="334"/>
        <v>15.824458784000001</v>
      </c>
      <c r="H587" s="37">
        <v>3363.6880000000001</v>
      </c>
      <c r="I587" s="17"/>
      <c r="J587" s="17"/>
    </row>
    <row r="588" spans="1:10" ht="17.25" customHeight="1">
      <c r="A588" s="36">
        <v>40017</v>
      </c>
      <c r="B588" s="30">
        <v>95.48</v>
      </c>
      <c r="C588" s="37">
        <f t="shared" si="335"/>
        <v>95.002600000000001</v>
      </c>
      <c r="D588" s="37">
        <f t="shared" si="338"/>
        <v>95.957399999999993</v>
      </c>
      <c r="E588" s="81">
        <f>3317.269/4893.543*100</f>
        <v>67.788696247279319</v>
      </c>
      <c r="F588" s="34">
        <v>161771.20000000001</v>
      </c>
      <c r="G588" s="32">
        <f t="shared" si="334"/>
        <v>15.445914176</v>
      </c>
      <c r="H588" s="37">
        <v>3317.2689999999998</v>
      </c>
      <c r="I588" s="4"/>
      <c r="J588" s="4"/>
    </row>
    <row r="589" spans="1:10" s="22" customFormat="1" ht="17.25" customHeight="1">
      <c r="A589" s="36">
        <v>40010</v>
      </c>
      <c r="B589" s="30">
        <v>93.34</v>
      </c>
      <c r="C589" s="37">
        <f t="shared" si="335"/>
        <v>92.8733</v>
      </c>
      <c r="D589" s="37">
        <f t="shared" si="338"/>
        <v>93.806699999999992</v>
      </c>
      <c r="E589" s="81">
        <f>3173.971/4893.543*100</f>
        <v>64.860388475180457</v>
      </c>
      <c r="F589" s="34">
        <v>161771.20000000001</v>
      </c>
      <c r="G589" s="32">
        <f t="shared" si="334"/>
        <v>15.099723808000002</v>
      </c>
      <c r="H589" s="37">
        <v>3173.971</v>
      </c>
      <c r="I589" s="21"/>
      <c r="J589" s="21"/>
    </row>
    <row r="590" spans="1:10" s="18" customFormat="1" ht="17.25" customHeight="1">
      <c r="A590" s="36">
        <v>40003</v>
      </c>
      <c r="B590" s="30">
        <v>90.08</v>
      </c>
      <c r="C590" s="37">
        <f t="shared" si="335"/>
        <v>89.629599999999996</v>
      </c>
      <c r="D590" s="37">
        <f t="shared" ref="D590:D596" si="339">1.005*B590</f>
        <v>90.530399999999986</v>
      </c>
      <c r="E590" s="81">
        <f>2998.81/4893.543*100</f>
        <v>61.28095737587266</v>
      </c>
      <c r="F590" s="34">
        <v>161771.20000000001</v>
      </c>
      <c r="G590" s="32">
        <f t="shared" si="334"/>
        <v>14.572349696</v>
      </c>
      <c r="H590" s="37">
        <v>2998.81</v>
      </c>
      <c r="I590" s="17"/>
      <c r="J590" s="17"/>
    </row>
    <row r="591" spans="1:10" ht="17.25" customHeight="1">
      <c r="A591" s="36">
        <v>39996</v>
      </c>
      <c r="B591" s="30">
        <v>91.6</v>
      </c>
      <c r="C591" s="37">
        <f t="shared" si="335"/>
        <v>91.141999999999996</v>
      </c>
      <c r="D591" s="37">
        <f>1.005*B591</f>
        <v>92.057999999999979</v>
      </c>
      <c r="E591" s="81">
        <f>3065.902/4893.543*100</f>
        <v>62.651988548992009</v>
      </c>
      <c r="F591" s="34">
        <v>161771.20000000001</v>
      </c>
      <c r="G591" s="32">
        <f t="shared" si="334"/>
        <v>14.81824192</v>
      </c>
      <c r="H591" s="37">
        <v>3065.902</v>
      </c>
      <c r="I591" s="4"/>
      <c r="J591" s="4"/>
    </row>
    <row r="592" spans="1:10" ht="17.25" customHeight="1">
      <c r="A592" s="36">
        <v>39989</v>
      </c>
      <c r="B592" s="30">
        <v>92.13</v>
      </c>
      <c r="C592" s="37">
        <f t="shared" si="335"/>
        <v>91.669349999999994</v>
      </c>
      <c r="D592" s="37">
        <f t="shared" si="339"/>
        <v>92.590649999999982</v>
      </c>
      <c r="E592" s="81">
        <f>3096.363/4893.543*100</f>
        <v>63.274461877621178</v>
      </c>
      <c r="F592" s="34">
        <v>161771.20000000001</v>
      </c>
      <c r="G592" s="32">
        <f t="shared" si="334"/>
        <v>14.903980656</v>
      </c>
      <c r="H592" s="37">
        <v>3096.3629999999998</v>
      </c>
      <c r="I592" s="4"/>
      <c r="J592" s="4"/>
    </row>
    <row r="593" spans="1:10" ht="17.25" customHeight="1">
      <c r="A593" s="36">
        <v>39982</v>
      </c>
      <c r="B593" s="30">
        <v>91.77</v>
      </c>
      <c r="C593" s="37">
        <f t="shared" si="335"/>
        <v>91.311149999999998</v>
      </c>
      <c r="D593" s="37">
        <f t="shared" si="339"/>
        <v>92.22884999999998</v>
      </c>
      <c r="E593" s="81">
        <f>3097.911/4893.543*100</f>
        <v>63.306095399590859</v>
      </c>
      <c r="F593" s="34">
        <v>161771</v>
      </c>
      <c r="G593" s="32">
        <f t="shared" si="334"/>
        <v>14.845724669999999</v>
      </c>
      <c r="H593" s="37">
        <v>3097.9110000000001</v>
      </c>
      <c r="I593" s="4"/>
      <c r="J593" s="4"/>
    </row>
    <row r="594" spans="1:10" ht="17.25" customHeight="1">
      <c r="A594" s="36">
        <v>39975</v>
      </c>
      <c r="B594" s="30">
        <v>94.64</v>
      </c>
      <c r="C594" s="37">
        <f t="shared" si="335"/>
        <v>94.166799999999995</v>
      </c>
      <c r="D594" s="37">
        <f t="shared" si="339"/>
        <v>95.113199999999992</v>
      </c>
      <c r="E594" s="81">
        <f>3221.411/4893.543*100</f>
        <v>65.829829225982081</v>
      </c>
      <c r="F594" s="34">
        <v>161771.20000000001</v>
      </c>
      <c r="G594" s="32">
        <f t="shared" si="334"/>
        <v>15.310026368000001</v>
      </c>
      <c r="H594" s="37">
        <v>3221.4110000000001</v>
      </c>
      <c r="I594" s="4"/>
      <c r="J594" s="4"/>
    </row>
    <row r="595" spans="1:10" ht="17.25" customHeight="1">
      <c r="A595" s="36">
        <v>39968</v>
      </c>
      <c r="B595" s="30">
        <v>94.63</v>
      </c>
      <c r="C595" s="37">
        <f t="shared" si="335"/>
        <v>94.156849999999991</v>
      </c>
      <c r="D595" s="37">
        <f t="shared" si="339"/>
        <v>95.103149999999985</v>
      </c>
      <c r="E595" s="81">
        <f>3185.094/4893.543*100</f>
        <v>65.087688000289361</v>
      </c>
      <c r="F595" s="34">
        <v>161771</v>
      </c>
      <c r="G595" s="32">
        <f t="shared" si="334"/>
        <v>15.308389729999998</v>
      </c>
      <c r="H595" s="37">
        <v>3185.0940000000001</v>
      </c>
      <c r="I595" s="4"/>
      <c r="J595" s="4"/>
    </row>
    <row r="596" spans="1:10" ht="17.25" customHeight="1">
      <c r="A596" s="36">
        <v>39961</v>
      </c>
      <c r="B596" s="30">
        <v>91.46</v>
      </c>
      <c r="C596" s="37">
        <f t="shared" si="335"/>
        <v>91.00269999999999</v>
      </c>
      <c r="D596" s="37">
        <f t="shared" si="339"/>
        <v>91.917299999999983</v>
      </c>
      <c r="E596" s="81">
        <f>3082.113/4893.543*100</f>
        <v>62.983261820729886</v>
      </c>
      <c r="F596" s="34">
        <v>161771.20000000001</v>
      </c>
      <c r="G596" s="32">
        <f t="shared" si="334"/>
        <v>14.795593951999999</v>
      </c>
      <c r="H596" s="37">
        <v>3082.1129999999998</v>
      </c>
      <c r="I596" s="4"/>
      <c r="J596" s="4"/>
    </row>
    <row r="597" spans="1:10" ht="17.25" customHeight="1">
      <c r="A597" s="36">
        <v>39955</v>
      </c>
      <c r="B597" s="30">
        <v>89.99</v>
      </c>
      <c r="C597" s="37">
        <f t="shared" si="335"/>
        <v>89.540049999999994</v>
      </c>
      <c r="D597" s="37">
        <f t="shared" ref="D597:D602" si="340">1.005*B597</f>
        <v>90.439949999999982</v>
      </c>
      <c r="E597" s="81">
        <f>3036.705/4893.543*100</f>
        <v>62.055345176286394</v>
      </c>
      <c r="F597" s="34">
        <v>161771.20000000001</v>
      </c>
      <c r="G597" s="32">
        <f t="shared" si="334"/>
        <v>14.557790288000001</v>
      </c>
      <c r="H597" s="37">
        <v>3036.7049999999999</v>
      </c>
      <c r="I597" s="4"/>
      <c r="J597" s="4"/>
    </row>
    <row r="598" spans="1:10" ht="17.25" customHeight="1">
      <c r="A598" s="36">
        <v>39947</v>
      </c>
      <c r="B598" s="30">
        <v>87.31</v>
      </c>
      <c r="C598" s="37">
        <f t="shared" si="335"/>
        <v>86.873450000000005</v>
      </c>
      <c r="D598" s="37">
        <f t="shared" si="340"/>
        <v>87.746549999999999</v>
      </c>
      <c r="E598" s="81">
        <f>2966.457/4893.543*100</f>
        <v>60.619820853725003</v>
      </c>
      <c r="F598" s="34">
        <v>161771</v>
      </c>
      <c r="G598" s="32">
        <f t="shared" si="334"/>
        <v>14.124226009999999</v>
      </c>
      <c r="H598" s="37">
        <v>2966.4569999999999</v>
      </c>
      <c r="I598" s="4"/>
      <c r="J598" s="4"/>
    </row>
    <row r="599" spans="1:10" ht="17.25" customHeight="1">
      <c r="A599" s="36">
        <v>39940</v>
      </c>
      <c r="B599" s="30">
        <v>86.59</v>
      </c>
      <c r="C599" s="37">
        <f t="shared" si="335"/>
        <v>86.157049999999998</v>
      </c>
      <c r="D599" s="37">
        <f t="shared" si="340"/>
        <v>87.022949999999994</v>
      </c>
      <c r="E599" s="81">
        <f>3003.883/4893.543*100</f>
        <v>61.38462459612596</v>
      </c>
      <c r="F599" s="34">
        <v>161771</v>
      </c>
      <c r="G599" s="32">
        <f t="shared" si="334"/>
        <v>14.007750890000001</v>
      </c>
      <c r="H599" s="37">
        <v>3003.8829999999998</v>
      </c>
      <c r="I599" s="4"/>
      <c r="J599" s="4"/>
    </row>
    <row r="600" spans="1:10" ht="17.25" customHeight="1">
      <c r="A600" s="36">
        <v>39933</v>
      </c>
      <c r="B600" s="30">
        <v>83.01</v>
      </c>
      <c r="C600" s="37">
        <f t="shared" si="335"/>
        <v>82.594950000000011</v>
      </c>
      <c r="D600" s="37">
        <f t="shared" si="340"/>
        <v>83.425049999999999</v>
      </c>
      <c r="E600" s="81">
        <f>2867.372/4893.543*100</f>
        <v>58.595009791474197</v>
      </c>
      <c r="F600" s="34">
        <v>161771.20000000001</v>
      </c>
      <c r="G600" s="32">
        <f t="shared" si="334"/>
        <v>13.428627312000003</v>
      </c>
      <c r="H600" s="37">
        <v>2867.3719999999998</v>
      </c>
      <c r="I600" s="4"/>
      <c r="J600" s="4"/>
    </row>
    <row r="601" spans="1:10" ht="17.25" customHeight="1">
      <c r="A601" s="36">
        <v>39926</v>
      </c>
      <c r="B601" s="30">
        <v>82.16</v>
      </c>
      <c r="C601" s="37">
        <f t="shared" si="335"/>
        <v>81.749200000000002</v>
      </c>
      <c r="D601" s="37">
        <f t="shared" si="340"/>
        <v>82.570799999999991</v>
      </c>
      <c r="E601" s="81">
        <f>2770.551/4893.543*100</f>
        <v>56.616463776858609</v>
      </c>
      <c r="F601" s="34">
        <v>161771</v>
      </c>
      <c r="G601" s="32">
        <f t="shared" si="334"/>
        <v>13.29110536</v>
      </c>
      <c r="H601" s="37">
        <v>2770.5509999999999</v>
      </c>
      <c r="I601" s="4"/>
      <c r="J601" s="4"/>
    </row>
    <row r="602" spans="1:10" ht="17.25" customHeight="1">
      <c r="A602" s="36">
        <v>39919</v>
      </c>
      <c r="B602" s="30">
        <v>81.42</v>
      </c>
      <c r="C602" s="37">
        <f t="shared" si="335"/>
        <v>81.012900000000002</v>
      </c>
      <c r="D602" s="37">
        <f t="shared" si="340"/>
        <v>81.827099999999987</v>
      </c>
      <c r="E602" s="81">
        <f>2804.737/4893.543*100</f>
        <v>57.315057822113758</v>
      </c>
      <c r="F602" s="34">
        <v>161771.20000000001</v>
      </c>
      <c r="G602" s="32">
        <f t="shared" si="334"/>
        <v>13.171411104000002</v>
      </c>
      <c r="H602" s="37">
        <v>2804.7370000000001</v>
      </c>
      <c r="I602" s="4"/>
      <c r="J602" s="4"/>
    </row>
    <row r="603" spans="1:10" ht="17.25" customHeight="1">
      <c r="A603" s="36">
        <v>39912</v>
      </c>
      <c r="B603" s="30">
        <v>79.930000000000007</v>
      </c>
      <c r="C603" s="37">
        <f t="shared" si="335"/>
        <v>79.530350000000013</v>
      </c>
      <c r="D603" s="37">
        <f t="shared" ref="D603:D608" si="341">1.005*B603</f>
        <v>80.329650000000001</v>
      </c>
      <c r="E603" s="81">
        <f>2758.6/4893.543*100</f>
        <v>56.37224399581244</v>
      </c>
      <c r="F603" s="34">
        <v>161771.20000000001</v>
      </c>
      <c r="G603" s="32">
        <f t="shared" si="334"/>
        <v>12.930372016000003</v>
      </c>
      <c r="H603" s="37">
        <v>2758.6</v>
      </c>
      <c r="I603" s="4"/>
      <c r="J603" s="4"/>
    </row>
    <row r="604" spans="1:10" ht="17.25" customHeight="1">
      <c r="A604" s="36">
        <v>39905</v>
      </c>
      <c r="B604" s="30">
        <v>79.55</v>
      </c>
      <c r="C604" s="37">
        <f t="shared" si="335"/>
        <v>79.152249999999995</v>
      </c>
      <c r="D604" s="37">
        <f t="shared" si="341"/>
        <v>79.947749999999985</v>
      </c>
      <c r="E604" s="81">
        <f>2728.642/4893.543*100</f>
        <v>55.760049518314233</v>
      </c>
      <c r="F604" s="34">
        <v>161771.20000000001</v>
      </c>
      <c r="G604" s="32">
        <f t="shared" si="334"/>
        <v>12.868898960000001</v>
      </c>
      <c r="H604" s="37">
        <v>2728.6419999999998</v>
      </c>
      <c r="I604" s="4"/>
      <c r="J604" s="4"/>
    </row>
    <row r="605" spans="1:10" ht="17.25" customHeight="1">
      <c r="A605" s="36">
        <v>39898</v>
      </c>
      <c r="B605" s="30">
        <v>79.81</v>
      </c>
      <c r="C605" s="37">
        <f t="shared" si="335"/>
        <v>79.41095</v>
      </c>
      <c r="D605" s="37">
        <f t="shared" si="341"/>
        <v>80.209049999999991</v>
      </c>
      <c r="E605" s="81">
        <f>2691.295/4893.543*100</f>
        <v>54.996860148158511</v>
      </c>
      <c r="F605" s="34">
        <v>161771</v>
      </c>
      <c r="G605" s="32">
        <f t="shared" si="334"/>
        <v>12.910943509999999</v>
      </c>
      <c r="H605" s="37">
        <v>2691.2950000000001</v>
      </c>
      <c r="I605" s="4"/>
      <c r="J605" s="4"/>
    </row>
    <row r="606" spans="1:10" ht="17.25" customHeight="1">
      <c r="A606" s="36">
        <v>39891</v>
      </c>
      <c r="B606" s="30">
        <v>75.72</v>
      </c>
      <c r="C606" s="37">
        <f t="shared" si="335"/>
        <v>75.341399999999993</v>
      </c>
      <c r="D606" s="37">
        <f t="shared" si="341"/>
        <v>76.09859999999999</v>
      </c>
      <c r="E606" s="81">
        <f>2564.794/4893.543*100</f>
        <v>52.411800611540556</v>
      </c>
      <c r="F606" s="34">
        <v>161771.20000000001</v>
      </c>
      <c r="G606" s="32">
        <f t="shared" si="334"/>
        <v>12.249315264</v>
      </c>
      <c r="H606" s="37">
        <v>2564.7939999999999</v>
      </c>
      <c r="I606" s="4"/>
      <c r="J606" s="4"/>
    </row>
    <row r="607" spans="1:10" ht="17.25" customHeight="1">
      <c r="A607" s="36">
        <v>39884</v>
      </c>
      <c r="B607" s="30">
        <v>69.62</v>
      </c>
      <c r="C607" s="37">
        <f t="shared" si="335"/>
        <v>69.271900000000002</v>
      </c>
      <c r="D607" s="37">
        <f t="shared" si="341"/>
        <v>69.968099999999993</v>
      </c>
      <c r="E607" s="81">
        <f>2379.771/4893.543*100</f>
        <v>48.630838637772271</v>
      </c>
      <c r="F607" s="34">
        <v>161771</v>
      </c>
      <c r="G607" s="32">
        <f t="shared" si="334"/>
        <v>11.262497020000001</v>
      </c>
      <c r="H607" s="37">
        <v>2379.7710000000002</v>
      </c>
      <c r="I607" s="4"/>
      <c r="J607" s="4"/>
    </row>
    <row r="608" spans="1:10" ht="17.25" customHeight="1">
      <c r="A608" s="36">
        <v>39877</v>
      </c>
      <c r="B608" s="30">
        <v>67.08</v>
      </c>
      <c r="C608" s="37">
        <f t="shared" si="335"/>
        <v>66.744599999999991</v>
      </c>
      <c r="D608" s="37">
        <f t="shared" si="341"/>
        <v>67.415399999999991</v>
      </c>
      <c r="E608" s="81">
        <f>2234.061/4893.543*100</f>
        <v>45.653241424464859</v>
      </c>
      <c r="F608" s="34">
        <v>161771</v>
      </c>
      <c r="G608" s="32">
        <f t="shared" si="334"/>
        <v>10.85159868</v>
      </c>
      <c r="H608" s="37">
        <v>2234.0610000000001</v>
      </c>
      <c r="I608" s="4"/>
      <c r="J608" s="4"/>
    </row>
    <row r="609" spans="1:10" ht="17.25" customHeight="1">
      <c r="A609" s="36">
        <v>39870</v>
      </c>
      <c r="B609" s="30">
        <v>69.709999999999994</v>
      </c>
      <c r="C609" s="37">
        <f t="shared" si="335"/>
        <v>69.361449999999991</v>
      </c>
      <c r="D609" s="37">
        <f t="shared" ref="D609:D614" si="342">1.005*B609</f>
        <v>70.058549999999983</v>
      </c>
      <c r="E609" s="81">
        <f>2434.155/4893.543*100</f>
        <v>49.742180665419724</v>
      </c>
      <c r="F609" s="34">
        <v>161771</v>
      </c>
      <c r="G609" s="32">
        <f t="shared" si="334"/>
        <v>11.277056409999998</v>
      </c>
      <c r="H609" s="37">
        <v>2434.1550000000002</v>
      </c>
      <c r="I609" s="4"/>
      <c r="J609" s="4"/>
    </row>
    <row r="610" spans="1:10" ht="17.25" customHeight="1">
      <c r="A610" s="36">
        <v>39863</v>
      </c>
      <c r="B610" s="30">
        <v>71.98</v>
      </c>
      <c r="C610" s="37">
        <f t="shared" si="335"/>
        <v>71.620100000000008</v>
      </c>
      <c r="D610" s="37">
        <f t="shared" si="342"/>
        <v>72.3399</v>
      </c>
      <c r="E610" s="81">
        <f>2516.492/4893.543*100</f>
        <v>51.424744811683489</v>
      </c>
      <c r="F610" s="34">
        <v>161771</v>
      </c>
      <c r="G610" s="32">
        <f t="shared" si="334"/>
        <v>11.64427658</v>
      </c>
      <c r="H610" s="37">
        <v>2516.4920000000002</v>
      </c>
      <c r="I610" s="4"/>
      <c r="J610" s="4"/>
    </row>
    <row r="611" spans="1:10" ht="17.25" customHeight="1">
      <c r="A611" s="36">
        <v>39856</v>
      </c>
      <c r="B611" s="30">
        <v>74.650000000000006</v>
      </c>
      <c r="C611" s="37">
        <f t="shared" si="335"/>
        <v>74.276750000000007</v>
      </c>
      <c r="D611" s="37">
        <f t="shared" si="342"/>
        <v>75.023250000000004</v>
      </c>
      <c r="E611" s="81">
        <f>2665.382/4893.543*100</f>
        <v>54.467325616634014</v>
      </c>
      <c r="F611" s="34">
        <v>161771</v>
      </c>
      <c r="G611" s="32">
        <f t="shared" si="334"/>
        <v>12.07620515</v>
      </c>
      <c r="H611" s="37">
        <v>2665.3820000000001</v>
      </c>
      <c r="I611" s="4"/>
      <c r="J611" s="4"/>
    </row>
    <row r="612" spans="1:10" ht="17.25" customHeight="1">
      <c r="A612" s="36">
        <v>39849</v>
      </c>
      <c r="B612" s="30">
        <v>74.739999999999995</v>
      </c>
      <c r="C612" s="37">
        <f t="shared" si="335"/>
        <v>74.366299999999995</v>
      </c>
      <c r="D612" s="37">
        <f t="shared" si="342"/>
        <v>75.11369999999998</v>
      </c>
      <c r="E612" s="81">
        <f>2712.08/4893.543*100</f>
        <v>55.421603529385564</v>
      </c>
      <c r="F612" s="34">
        <v>161771</v>
      </c>
      <c r="G612" s="32">
        <f t="shared" si="334"/>
        <v>12.090764539999999</v>
      </c>
      <c r="H612" s="37">
        <v>2712.08</v>
      </c>
      <c r="I612" s="4"/>
      <c r="J612" s="4"/>
    </row>
    <row r="613" spans="1:10" ht="17.25" customHeight="1">
      <c r="A613" s="36">
        <v>39842</v>
      </c>
      <c r="B613" s="30">
        <v>75.83</v>
      </c>
      <c r="C613" s="37">
        <f t="shared" si="335"/>
        <v>75.450850000000003</v>
      </c>
      <c r="D613" s="37">
        <f t="shared" si="342"/>
        <v>76.209149999999994</v>
      </c>
      <c r="E613" s="81">
        <f>2725.523/4893.543*100</f>
        <v>55.696312467265543</v>
      </c>
      <c r="F613" s="34">
        <v>161738.41</v>
      </c>
      <c r="G613" s="32">
        <f t="shared" si="334"/>
        <v>12.264623630300001</v>
      </c>
      <c r="H613" s="37">
        <v>2725.5230000000001</v>
      </c>
      <c r="I613" s="4"/>
      <c r="J613" s="4"/>
    </row>
    <row r="614" spans="1:10" ht="17.25" customHeight="1">
      <c r="A614" s="36">
        <v>39835</v>
      </c>
      <c r="B614" s="30">
        <v>73.569999999999993</v>
      </c>
      <c r="C614" s="37">
        <f t="shared" si="335"/>
        <v>73.202149999999989</v>
      </c>
      <c r="D614" s="37">
        <f t="shared" si="342"/>
        <v>73.937849999999983</v>
      </c>
      <c r="E614" s="81">
        <f>2637.302/4893.543*100</f>
        <v>53.893508241370313</v>
      </c>
      <c r="F614" s="34">
        <v>161738.14000000001</v>
      </c>
      <c r="G614" s="32">
        <f t="shared" si="334"/>
        <v>11.8990749598</v>
      </c>
      <c r="H614" s="37">
        <v>2637.3020000000001</v>
      </c>
      <c r="I614" s="4"/>
      <c r="J614" s="4"/>
    </row>
    <row r="615" spans="1:10" ht="17.25" customHeight="1">
      <c r="A615" s="36">
        <v>39828</v>
      </c>
      <c r="B615" s="30">
        <v>74.3</v>
      </c>
      <c r="C615" s="37">
        <f t="shared" si="335"/>
        <v>73.9285</v>
      </c>
      <c r="D615" s="37">
        <f t="shared" ref="D615:D623" si="343">1.005*B615</f>
        <v>74.671499999999995</v>
      </c>
      <c r="E615" s="81">
        <f>2709.507/4893.543*100</f>
        <v>55.369024038411439</v>
      </c>
      <c r="F615" s="34">
        <v>161738.14000000001</v>
      </c>
      <c r="G615" s="32">
        <f t="shared" si="334"/>
        <v>12.017143802000001</v>
      </c>
      <c r="H615" s="37">
        <v>2709.5070000000001</v>
      </c>
      <c r="I615" s="4"/>
      <c r="J615" s="4"/>
    </row>
    <row r="616" spans="1:10" ht="17.25" customHeight="1">
      <c r="A616" s="36">
        <v>39821</v>
      </c>
      <c r="B616" s="30">
        <v>80</v>
      </c>
      <c r="C616" s="37">
        <f t="shared" si="335"/>
        <v>79.599999999999994</v>
      </c>
      <c r="D616" s="37">
        <f t="shared" si="343"/>
        <v>80.399999999999991</v>
      </c>
      <c r="E616" s="81">
        <f>2979.413/4893.543*100</f>
        <v>60.884577901941398</v>
      </c>
      <c r="F616" s="34">
        <v>161738.14000000001</v>
      </c>
      <c r="G616" s="32">
        <f t="shared" si="334"/>
        <v>12.939051200000002</v>
      </c>
      <c r="H616" s="37">
        <v>2979.413</v>
      </c>
      <c r="I616" s="4"/>
      <c r="J616" s="4"/>
    </row>
    <row r="617" spans="1:10" ht="17.25" customHeight="1">
      <c r="A617" s="36">
        <v>39815</v>
      </c>
      <c r="B617" s="30">
        <v>81.69</v>
      </c>
      <c r="C617" s="37">
        <f t="shared" si="335"/>
        <v>81.281549999999996</v>
      </c>
      <c r="D617" s="37">
        <f t="shared" si="343"/>
        <v>82.098449999999985</v>
      </c>
      <c r="E617" s="81">
        <f>3002.008/4893.543*100</f>
        <v>61.346308799166572</v>
      </c>
      <c r="F617" s="34">
        <v>161738.14000000001</v>
      </c>
      <c r="G617" s="32">
        <f t="shared" si="334"/>
        <v>13.2123886566</v>
      </c>
      <c r="H617" s="37">
        <v>3002.0079999999998</v>
      </c>
      <c r="I617" s="4"/>
      <c r="J617" s="4"/>
    </row>
    <row r="618" spans="1:10" ht="17.25" customHeight="1">
      <c r="A618" s="36">
        <v>39813</v>
      </c>
      <c r="B618" s="30">
        <v>80.55</v>
      </c>
      <c r="C618" s="37">
        <f t="shared" ref="C618:C635" si="344">0.995*B618</f>
        <v>80.14725</v>
      </c>
      <c r="D618" s="37">
        <f t="shared" si="343"/>
        <v>80.952749999999995</v>
      </c>
      <c r="E618" s="81">
        <f>2919.783/4893.543*100</f>
        <v>59.666033383174522</v>
      </c>
      <c r="F618" s="34">
        <v>161738</v>
      </c>
      <c r="G618" s="32">
        <f t="shared" si="334"/>
        <v>13.027995900000001</v>
      </c>
      <c r="H618" s="37">
        <v>2919.7829999999999</v>
      </c>
      <c r="I618" s="4"/>
      <c r="J618" s="4"/>
    </row>
    <row r="619" spans="1:10" ht="17.25" customHeight="1">
      <c r="A619" s="36">
        <v>39811</v>
      </c>
      <c r="B619" s="30">
        <v>79.239999999999995</v>
      </c>
      <c r="C619" s="37">
        <f t="shared" si="344"/>
        <v>78.843799999999987</v>
      </c>
      <c r="D619" s="37">
        <f t="shared" si="343"/>
        <v>79.636199999999988</v>
      </c>
      <c r="E619" s="81">
        <f>2858.7/4893.543*100</f>
        <v>58.417796676150587</v>
      </c>
      <c r="F619" s="34">
        <v>162738.14000000001</v>
      </c>
      <c r="G619" s="32">
        <f t="shared" si="334"/>
        <v>12.8953702136</v>
      </c>
      <c r="H619" s="37">
        <v>2858.7</v>
      </c>
      <c r="I619" s="4"/>
      <c r="J619" s="4"/>
    </row>
    <row r="620" spans="1:10" s="18" customFormat="1" ht="17.25" customHeight="1">
      <c r="A620" s="36">
        <v>39800</v>
      </c>
      <c r="B620" s="30">
        <v>78.84</v>
      </c>
      <c r="C620" s="37">
        <f t="shared" si="344"/>
        <v>78.445800000000006</v>
      </c>
      <c r="D620" s="37">
        <f t="shared" si="343"/>
        <v>79.234200000000001</v>
      </c>
      <c r="E620" s="81">
        <f>2914.485/4893.543*100</f>
        <v>59.557768267286107</v>
      </c>
      <c r="F620" s="34">
        <v>162738</v>
      </c>
      <c r="G620" s="32">
        <f t="shared" si="334"/>
        <v>12.83026392</v>
      </c>
      <c r="H620" s="37">
        <v>2914.4850000000001</v>
      </c>
      <c r="I620" s="17"/>
      <c r="J620" s="17"/>
    </row>
    <row r="621" spans="1:10" ht="17.25" customHeight="1">
      <c r="A621" s="36">
        <v>39793</v>
      </c>
      <c r="B621" s="30">
        <v>76.31</v>
      </c>
      <c r="C621" s="37">
        <f t="shared" si="344"/>
        <v>75.928449999999998</v>
      </c>
      <c r="D621" s="37">
        <f t="shared" si="343"/>
        <v>76.691549999999992</v>
      </c>
      <c r="E621" s="81">
        <f>2827.976/4893.543*100</f>
        <v>57.789948918401258</v>
      </c>
      <c r="F621" s="34">
        <v>162738.14000000001</v>
      </c>
      <c r="G621" s="32">
        <f t="shared" si="334"/>
        <v>12.418547463400001</v>
      </c>
      <c r="H621" s="37">
        <v>2827.9760000000001</v>
      </c>
      <c r="I621" s="4"/>
      <c r="J621" s="4"/>
    </row>
    <row r="622" spans="1:10" ht="17.25" customHeight="1">
      <c r="A622" s="36">
        <v>39786</v>
      </c>
      <c r="B622" s="30">
        <v>71.87</v>
      </c>
      <c r="C622" s="37">
        <f t="shared" si="344"/>
        <v>71.510649999999998</v>
      </c>
      <c r="D622" s="37">
        <f t="shared" si="343"/>
        <v>72.229349999999997</v>
      </c>
      <c r="E622" s="81">
        <f>2675.747/4893.543*100</f>
        <v>54.679135342225457</v>
      </c>
      <c r="F622" s="34">
        <v>162738.14000000001</v>
      </c>
      <c r="G622" s="32">
        <f t="shared" si="334"/>
        <v>11.695990121800001</v>
      </c>
      <c r="H622" s="37">
        <v>2675.7469999999998</v>
      </c>
      <c r="I622" s="4"/>
      <c r="J622" s="4"/>
    </row>
    <row r="623" spans="1:10" ht="17.25" customHeight="1">
      <c r="A623" s="36">
        <v>39779</v>
      </c>
      <c r="B623" s="30">
        <v>73.61</v>
      </c>
      <c r="C623" s="37">
        <f t="shared" si="344"/>
        <v>73.241950000000003</v>
      </c>
      <c r="D623" s="37">
        <f t="shared" si="343"/>
        <v>73.978049999999996</v>
      </c>
      <c r="E623" s="81">
        <f>2801.639/4893.543*100</f>
        <v>57.251749907990998</v>
      </c>
      <c r="F623" s="34">
        <v>162738.14000000001</v>
      </c>
      <c r="G623" s="32">
        <f t="shared" si="334"/>
        <v>11.9791544854</v>
      </c>
      <c r="H623" s="37">
        <v>2801.6390000000001</v>
      </c>
      <c r="I623" s="4"/>
      <c r="J623" s="4"/>
    </row>
    <row r="624" spans="1:10" s="18" customFormat="1" ht="17.25" customHeight="1">
      <c r="A624" s="36">
        <v>39772</v>
      </c>
      <c r="B624" s="30">
        <v>66.78</v>
      </c>
      <c r="C624" s="37">
        <f t="shared" si="344"/>
        <v>66.446100000000001</v>
      </c>
      <c r="D624" s="37">
        <f t="shared" ref="D624:D629" si="345">1.005*B624</f>
        <v>67.113900000000001</v>
      </c>
      <c r="E624" s="81">
        <f>2441.381/4893.543*100</f>
        <v>49.889844638128245</v>
      </c>
      <c r="F624" s="34">
        <v>162738.14000000001</v>
      </c>
      <c r="G624" s="32">
        <f t="shared" si="334"/>
        <v>10.867652989200002</v>
      </c>
      <c r="H624" s="37">
        <v>2441.3809999999999</v>
      </c>
      <c r="I624" s="17"/>
      <c r="J624" s="17"/>
    </row>
    <row r="625" spans="1:10" s="18" customFormat="1" ht="17.25" customHeight="1">
      <c r="A625" s="38">
        <v>39765</v>
      </c>
      <c r="B625" s="30">
        <v>69.790000000000006</v>
      </c>
      <c r="C625" s="37">
        <f t="shared" si="344"/>
        <v>69.441050000000004</v>
      </c>
      <c r="D625" s="37">
        <f t="shared" si="345"/>
        <v>70.138949999999994</v>
      </c>
      <c r="E625" s="81">
        <f>2826.3/4893.543*100</f>
        <v>57.755699704692496</v>
      </c>
      <c r="F625" s="34">
        <v>158460.75</v>
      </c>
      <c r="G625" s="32">
        <f t="shared" si="334"/>
        <v>11.058975742500001</v>
      </c>
      <c r="H625" s="37">
        <v>2826.3</v>
      </c>
      <c r="I625" s="17"/>
      <c r="J625" s="17"/>
    </row>
    <row r="626" spans="1:10" s="18" customFormat="1" ht="17.25" customHeight="1">
      <c r="A626" s="38">
        <v>39758</v>
      </c>
      <c r="B626" s="30">
        <v>70.62</v>
      </c>
      <c r="C626" s="37">
        <f t="shared" si="344"/>
        <v>70.266900000000007</v>
      </c>
      <c r="D626" s="37">
        <f t="shared" si="345"/>
        <v>70.973100000000002</v>
      </c>
      <c r="E626" s="81">
        <f>2921.954/4893.543*100</f>
        <v>59.710397967280556</v>
      </c>
      <c r="F626" s="34">
        <v>150804.4</v>
      </c>
      <c r="G626" s="32">
        <f t="shared" si="334"/>
        <v>10.649806728</v>
      </c>
      <c r="H626" s="37">
        <v>2921.9540000000002</v>
      </c>
      <c r="I626" s="17"/>
      <c r="J626" s="17"/>
    </row>
    <row r="627" spans="1:10" s="18" customFormat="1" ht="17.25" customHeight="1">
      <c r="A627" s="38">
        <v>39751</v>
      </c>
      <c r="B627" s="30">
        <v>70.12</v>
      </c>
      <c r="C627" s="37">
        <f t="shared" si="344"/>
        <v>69.769400000000005</v>
      </c>
      <c r="D627" s="37">
        <f t="shared" si="345"/>
        <v>70.47059999999999</v>
      </c>
      <c r="E627" s="81">
        <f>3004.952/4893.543*100</f>
        <v>61.406469709165748</v>
      </c>
      <c r="F627" s="34">
        <v>158460.75</v>
      </c>
      <c r="G627" s="32">
        <f t="shared" si="334"/>
        <v>11.111267790000001</v>
      </c>
      <c r="H627" s="37">
        <v>3004.9520000000002</v>
      </c>
      <c r="I627" s="17"/>
      <c r="J627" s="17"/>
    </row>
    <row r="628" spans="1:10" s="18" customFormat="1" ht="17.25" customHeight="1">
      <c r="A628" s="38">
        <v>39744</v>
      </c>
      <c r="B628" s="30">
        <v>68.2</v>
      </c>
      <c r="C628" s="37">
        <f t="shared" si="344"/>
        <v>67.859000000000009</v>
      </c>
      <c r="D628" s="37">
        <f t="shared" si="345"/>
        <v>68.540999999999997</v>
      </c>
      <c r="E628" s="81">
        <f>2873.116/4893.543*100</f>
        <v>58.712388958266025</v>
      </c>
      <c r="F628" s="34">
        <v>160008</v>
      </c>
      <c r="G628" s="32">
        <f t="shared" si="334"/>
        <v>10.9125456</v>
      </c>
      <c r="H628" s="37">
        <v>2873.116</v>
      </c>
      <c r="I628" s="17"/>
      <c r="J628" s="17"/>
    </row>
    <row r="629" spans="1:10" s="18" customFormat="1" ht="17.25" customHeight="1">
      <c r="A629" s="38">
        <v>39737</v>
      </c>
      <c r="B629" s="30">
        <v>69.66</v>
      </c>
      <c r="C629" s="37">
        <f t="shared" si="344"/>
        <v>69.311700000000002</v>
      </c>
      <c r="D629" s="37">
        <f t="shared" si="345"/>
        <v>70.008299999999991</v>
      </c>
      <c r="E629" s="81">
        <f>2955.847/4893.543*100</f>
        <v>60.403004530664198</v>
      </c>
      <c r="F629" s="34">
        <v>160008</v>
      </c>
      <c r="G629" s="32">
        <f t="shared" si="334"/>
        <v>11.146157279999999</v>
      </c>
      <c r="H629" s="37">
        <v>2955.8470000000002</v>
      </c>
      <c r="I629" s="17"/>
      <c r="J629" s="17"/>
    </row>
    <row r="630" spans="1:10" ht="17.25" customHeight="1">
      <c r="A630" s="38">
        <v>39730</v>
      </c>
      <c r="B630" s="30">
        <v>72.16</v>
      </c>
      <c r="C630" s="37">
        <f t="shared" si="344"/>
        <v>71.799199999999999</v>
      </c>
      <c r="D630" s="37">
        <f t="shared" ref="D630:D635" si="346">1.005*B630</f>
        <v>72.520799999999994</v>
      </c>
      <c r="E630" s="81">
        <f>3021.262/4893.543*100</f>
        <v>61.739766054983072</v>
      </c>
      <c r="F630" s="34">
        <v>160008</v>
      </c>
      <c r="G630" s="32">
        <f>F630*B630/1000000</f>
        <v>11.54617728</v>
      </c>
      <c r="H630" s="37">
        <v>3021.2620000000002</v>
      </c>
      <c r="I630" s="4"/>
      <c r="J630" s="4"/>
    </row>
    <row r="631" spans="1:10" ht="17.25" customHeight="1">
      <c r="A631" s="38">
        <v>39723</v>
      </c>
      <c r="B631" s="30">
        <v>79.44</v>
      </c>
      <c r="C631" s="37">
        <f t="shared" si="344"/>
        <v>79.0428</v>
      </c>
      <c r="D631" s="37">
        <f t="shared" si="346"/>
        <v>79.837199999999996</v>
      </c>
      <c r="E631" s="81">
        <f>3598.074/4893.543*100</f>
        <v>73.52697217537478</v>
      </c>
      <c r="F631" s="34">
        <v>160008</v>
      </c>
      <c r="G631" s="32">
        <f>F631*B631/1000000</f>
        <v>12.711035519999999</v>
      </c>
      <c r="H631" s="37">
        <v>3598.0740000000001</v>
      </c>
      <c r="I631" s="4"/>
      <c r="J631" s="4"/>
    </row>
    <row r="632" spans="1:10" ht="17.25" customHeight="1">
      <c r="A632" s="38">
        <v>39716</v>
      </c>
      <c r="B632" s="30">
        <v>87.62</v>
      </c>
      <c r="C632" s="37">
        <f t="shared" si="344"/>
        <v>87.181899999999999</v>
      </c>
      <c r="D632" s="37">
        <f t="shared" si="346"/>
        <v>88.058099999999996</v>
      </c>
      <c r="E632" s="81">
        <f>3974.135/4893.543*100</f>
        <v>81.211813199557056</v>
      </c>
      <c r="F632" s="34">
        <v>160008</v>
      </c>
      <c r="G632" s="32">
        <f t="shared" ref="G632:G660" si="347">F632*B632/1000000</f>
        <v>14.019900960000001</v>
      </c>
      <c r="H632" s="37">
        <v>3974.1350000000002</v>
      </c>
      <c r="I632" s="4"/>
      <c r="J632" s="4"/>
    </row>
    <row r="633" spans="1:10" ht="17.25" customHeight="1">
      <c r="A633" s="38">
        <v>39709</v>
      </c>
      <c r="B633" s="30">
        <v>85.44</v>
      </c>
      <c r="C633" s="37">
        <f t="shared" si="344"/>
        <v>85.012799999999999</v>
      </c>
      <c r="D633" s="37">
        <f t="shared" si="346"/>
        <v>85.867199999999983</v>
      </c>
      <c r="E633" s="81">
        <f>3829.91/4893.543*100</f>
        <v>78.26456209744147</v>
      </c>
      <c r="F633" s="34">
        <v>160008</v>
      </c>
      <c r="G633" s="32">
        <f t="shared" si="347"/>
        <v>13.67108352</v>
      </c>
      <c r="H633" s="37">
        <v>3829.91</v>
      </c>
      <c r="I633" s="4"/>
      <c r="J633" s="4"/>
    </row>
    <row r="634" spans="1:10" ht="17.25" customHeight="1">
      <c r="A634" s="38">
        <v>39702</v>
      </c>
      <c r="B634" s="30">
        <v>86.08</v>
      </c>
      <c r="C634" s="37">
        <f t="shared" si="344"/>
        <v>85.649599999999992</v>
      </c>
      <c r="D634" s="37">
        <f t="shared" si="346"/>
        <v>86.51039999999999</v>
      </c>
      <c r="E634" s="81">
        <f>3974.556/4893.543*100</f>
        <v>81.220416373167666</v>
      </c>
      <c r="F634" s="34">
        <v>160008</v>
      </c>
      <c r="G634" s="32">
        <f t="shared" si="347"/>
        <v>13.77348864</v>
      </c>
      <c r="H634" s="37">
        <v>3974.556</v>
      </c>
      <c r="I634" s="4"/>
      <c r="J634" s="4"/>
    </row>
    <row r="635" spans="1:10" ht="17.25" customHeight="1">
      <c r="A635" s="38">
        <v>39695</v>
      </c>
      <c r="B635" s="30">
        <v>88.69</v>
      </c>
      <c r="C635" s="37">
        <f t="shared" si="344"/>
        <v>88.246549999999999</v>
      </c>
      <c r="D635" s="37">
        <f t="shared" si="346"/>
        <v>89.133449999999982</v>
      </c>
      <c r="E635" s="81">
        <f>4032.328/4893.543*100</f>
        <v>82.400992491534254</v>
      </c>
      <c r="F635" s="34">
        <v>160008</v>
      </c>
      <c r="G635" s="32">
        <f t="shared" si="347"/>
        <v>14.191109519999999</v>
      </c>
      <c r="H635" s="37">
        <v>4032.328</v>
      </c>
      <c r="I635" s="4"/>
      <c r="J635" s="4"/>
    </row>
    <row r="636" spans="1:10" ht="17.25" customHeight="1">
      <c r="A636" s="38">
        <v>39688</v>
      </c>
      <c r="B636" s="30">
        <v>91.53</v>
      </c>
      <c r="C636" s="37">
        <f t="shared" ref="C636:C670" si="348">0.995*B636</f>
        <v>91.07235</v>
      </c>
      <c r="D636" s="37">
        <f t="shared" ref="D636:D641" si="349">1.005*B636</f>
        <v>91.987649999999988</v>
      </c>
      <c r="E636" s="81">
        <f>4235.146/4893.543*100</f>
        <v>86.545596922311702</v>
      </c>
      <c r="F636" s="34">
        <v>161007.99</v>
      </c>
      <c r="G636" s="32">
        <f t="shared" si="347"/>
        <v>14.737061324699999</v>
      </c>
      <c r="H636" s="37">
        <v>4235.1459999999997</v>
      </c>
      <c r="I636" s="4"/>
      <c r="J636" s="4"/>
    </row>
    <row r="637" spans="1:10" ht="17.25" customHeight="1">
      <c r="A637" s="38">
        <v>39681</v>
      </c>
      <c r="B637" s="30">
        <v>90.54</v>
      </c>
      <c r="C637" s="37">
        <f t="shared" si="348"/>
        <v>90.087299999999999</v>
      </c>
      <c r="D637" s="37">
        <f t="shared" si="349"/>
        <v>90.992699999999999</v>
      </c>
      <c r="E637" s="81">
        <f>4171.588/4893.543*100</f>
        <v>85.24678336330139</v>
      </c>
      <c r="F637" s="34">
        <v>161007.99</v>
      </c>
      <c r="G637" s="32">
        <f t="shared" si="347"/>
        <v>14.5776634146</v>
      </c>
      <c r="H637" s="37">
        <v>4171.5879999999997</v>
      </c>
      <c r="I637" s="4"/>
      <c r="J637" s="4"/>
    </row>
    <row r="638" spans="1:10" ht="17.25" customHeight="1">
      <c r="A638" s="38">
        <v>39674</v>
      </c>
      <c r="B638" s="30">
        <v>92.48</v>
      </c>
      <c r="C638" s="37">
        <f t="shared" si="348"/>
        <v>92.017600000000002</v>
      </c>
      <c r="D638" s="37">
        <f t="shared" si="349"/>
        <v>92.942399999999992</v>
      </c>
      <c r="E638" s="81">
        <f>4230.41/4893.543*100</f>
        <v>86.448816327965233</v>
      </c>
      <c r="F638" s="34">
        <v>161007.99</v>
      </c>
      <c r="G638" s="32">
        <f t="shared" si="347"/>
        <v>14.890018915200001</v>
      </c>
      <c r="H638" s="37">
        <v>4230.41</v>
      </c>
      <c r="I638" s="4"/>
      <c r="J638" s="4"/>
    </row>
    <row r="639" spans="1:10" ht="17.25" customHeight="1">
      <c r="A639" s="38">
        <v>39667</v>
      </c>
      <c r="B639" s="30">
        <v>95.47</v>
      </c>
      <c r="C639" s="37">
        <f t="shared" si="348"/>
        <v>94.992649999999998</v>
      </c>
      <c r="D639" s="37">
        <f t="shared" si="349"/>
        <v>95.947349999999986</v>
      </c>
      <c r="E639" s="81">
        <f>4243.492/4893.543*100</f>
        <v>86.716148197737311</v>
      </c>
      <c r="F639" s="34">
        <v>161007.99</v>
      </c>
      <c r="G639" s="32">
        <f t="shared" si="347"/>
        <v>15.3714328053</v>
      </c>
      <c r="H639" s="37">
        <v>4243.4920000000002</v>
      </c>
      <c r="I639" s="4"/>
      <c r="J639" s="4"/>
    </row>
    <row r="640" spans="1:10" ht="17.25" customHeight="1">
      <c r="A640" s="38">
        <v>39660</v>
      </c>
      <c r="B640" s="30">
        <v>95.13</v>
      </c>
      <c r="C640" s="37">
        <f t="shared" si="348"/>
        <v>94.654349999999994</v>
      </c>
      <c r="D640" s="37">
        <f t="shared" si="349"/>
        <v>95.605649999999983</v>
      </c>
      <c r="E640" s="81">
        <f>4285.969/4893.543*100</f>
        <v>87.584169588373911</v>
      </c>
      <c r="F640" s="34">
        <v>160982</v>
      </c>
      <c r="G640" s="32">
        <f t="shared" si="347"/>
        <v>15.314217660000001</v>
      </c>
      <c r="H640" s="37">
        <v>4285.9690000000001</v>
      </c>
      <c r="I640" s="4"/>
      <c r="J640" s="4"/>
    </row>
    <row r="641" spans="1:10" ht="17.25" customHeight="1">
      <c r="A641" s="38">
        <v>39653</v>
      </c>
      <c r="B641" s="30">
        <v>97.21</v>
      </c>
      <c r="C641" s="37">
        <f t="shared" si="348"/>
        <v>96.723949999999988</v>
      </c>
      <c r="D641" s="37">
        <f t="shared" si="349"/>
        <v>97.696049999999985</v>
      </c>
      <c r="E641" s="81">
        <f>4277.14/4893.543*100</f>
        <v>87.403748163651585</v>
      </c>
      <c r="F641" s="34">
        <v>160982</v>
      </c>
      <c r="G641" s="32">
        <f t="shared" si="347"/>
        <v>15.649060219999999</v>
      </c>
      <c r="H641" s="37">
        <v>4277.1400000000003</v>
      </c>
      <c r="I641" s="4"/>
      <c r="J641" s="4"/>
    </row>
    <row r="642" spans="1:10" ht="17.25" customHeight="1">
      <c r="A642" s="38">
        <v>39646</v>
      </c>
      <c r="B642" s="37">
        <v>94.72</v>
      </c>
      <c r="C642" s="37">
        <f t="shared" si="348"/>
        <v>94.246399999999994</v>
      </c>
      <c r="D642" s="37">
        <f t="shared" ref="D642:D647" si="350">1.005*B642</f>
        <v>95.193599999999989</v>
      </c>
      <c r="E642" s="81">
        <f>4263.271/4893.543*100</f>
        <v>87.120333876702432</v>
      </c>
      <c r="F642" s="34">
        <v>160982.5</v>
      </c>
      <c r="G642" s="32">
        <f t="shared" si="347"/>
        <v>15.2482624</v>
      </c>
      <c r="H642" s="37">
        <v>4263.2709999999997</v>
      </c>
      <c r="I642" s="4"/>
      <c r="J642" s="4"/>
    </row>
    <row r="643" spans="1:10" ht="17.25" customHeight="1">
      <c r="A643" s="38">
        <v>39639</v>
      </c>
      <c r="B643" s="37">
        <v>94.44</v>
      </c>
      <c r="C643" s="37">
        <f t="shared" si="348"/>
        <v>93.967799999999997</v>
      </c>
      <c r="D643" s="37">
        <f t="shared" si="350"/>
        <v>94.912199999999984</v>
      </c>
      <c r="E643" s="81">
        <f>4262.45/4893.543*100</f>
        <v>87.103556666407144</v>
      </c>
      <c r="F643" s="34">
        <v>159894.48000000001</v>
      </c>
      <c r="G643" s="32">
        <f t="shared" si="347"/>
        <v>15.100434691200002</v>
      </c>
      <c r="H643" s="37">
        <v>4262.45</v>
      </c>
      <c r="I643" s="4"/>
      <c r="J643" s="4"/>
    </row>
    <row r="644" spans="1:10" ht="17.25" customHeight="1">
      <c r="A644" s="38">
        <v>39632</v>
      </c>
      <c r="B644" s="37">
        <v>93.99</v>
      </c>
      <c r="C644" s="37">
        <f t="shared" si="348"/>
        <v>93.520049999999998</v>
      </c>
      <c r="D644" s="37">
        <f t="shared" si="350"/>
        <v>94.459949999999978</v>
      </c>
      <c r="E644" s="81">
        <f>4301.349/4893.543*100</f>
        <v>87.898461298899406</v>
      </c>
      <c r="F644" s="34">
        <v>159894.48000000001</v>
      </c>
      <c r="G644" s="32">
        <f t="shared" si="347"/>
        <v>15.028482175200001</v>
      </c>
      <c r="H644" s="37">
        <v>4301.3490000000002</v>
      </c>
      <c r="I644" s="16"/>
      <c r="J644" s="4"/>
    </row>
    <row r="645" spans="1:10" ht="17.25" customHeight="1">
      <c r="A645" s="38">
        <v>39625</v>
      </c>
      <c r="B645" s="30">
        <v>96.92</v>
      </c>
      <c r="C645" s="37">
        <f t="shared" si="348"/>
        <v>96.435400000000001</v>
      </c>
      <c r="D645" s="37">
        <f t="shared" si="350"/>
        <v>97.404599999999988</v>
      </c>
      <c r="E645" s="81">
        <f>4395.784/4893.543*100</f>
        <v>89.828249184690918</v>
      </c>
      <c r="F645" s="34">
        <v>159894.48000000001</v>
      </c>
      <c r="G645" s="32">
        <f t="shared" si="347"/>
        <v>15.496973001600001</v>
      </c>
      <c r="H645" s="37">
        <v>4395.7839999999997</v>
      </c>
      <c r="I645" s="4"/>
      <c r="J645" s="4"/>
    </row>
    <row r="646" spans="1:10" ht="17.25" customHeight="1">
      <c r="A646" s="38">
        <v>39618</v>
      </c>
      <c r="B646" s="30">
        <v>98.19</v>
      </c>
      <c r="C646" s="37">
        <f t="shared" si="348"/>
        <v>97.69905</v>
      </c>
      <c r="D646" s="37">
        <f t="shared" si="350"/>
        <v>98.680949999999982</v>
      </c>
      <c r="E646" s="81">
        <f>4539.943/4893.543*100</f>
        <v>92.774151570753546</v>
      </c>
      <c r="F646" s="34">
        <v>159894.48000000001</v>
      </c>
      <c r="G646" s="32">
        <f t="shared" si="347"/>
        <v>15.7000389912</v>
      </c>
      <c r="H646" s="37">
        <v>4539.9430000000002</v>
      </c>
      <c r="I646" s="4"/>
      <c r="J646" s="4"/>
    </row>
    <row r="647" spans="1:10" ht="17.25" customHeight="1">
      <c r="A647" s="38">
        <v>39611</v>
      </c>
      <c r="B647" s="30">
        <v>98.9</v>
      </c>
      <c r="C647" s="37">
        <f t="shared" si="348"/>
        <v>98.405500000000004</v>
      </c>
      <c r="D647" s="37">
        <f t="shared" si="350"/>
        <v>99.394499999999994</v>
      </c>
      <c r="E647" s="81">
        <f>4530.252/4893.543*100</f>
        <v>92.576115096975769</v>
      </c>
      <c r="F647" s="34">
        <v>159894.48000000001</v>
      </c>
      <c r="G647" s="32">
        <f t="shared" si="347"/>
        <v>15.813564072000002</v>
      </c>
      <c r="H647" s="37">
        <v>4530.2520000000004</v>
      </c>
      <c r="I647" s="4"/>
      <c r="J647" s="4"/>
    </row>
    <row r="648" spans="1:10" ht="17.25" customHeight="1">
      <c r="A648" s="38">
        <v>39604</v>
      </c>
      <c r="B648" s="30">
        <v>103.29</v>
      </c>
      <c r="C648" s="37">
        <f t="shared" si="348"/>
        <v>102.77355</v>
      </c>
      <c r="D648" s="37">
        <f t="shared" ref="D648:D653" si="351">1.005*B648</f>
        <v>103.80645</v>
      </c>
      <c r="E648" s="81">
        <f>4752.04/4893.543*100</f>
        <v>97.108373217523592</v>
      </c>
      <c r="F648" s="34">
        <v>160894.48000000001</v>
      </c>
      <c r="G648" s="32">
        <f t="shared" si="347"/>
        <v>16.618790839200003</v>
      </c>
      <c r="H648" s="37">
        <v>4752.04</v>
      </c>
      <c r="I648" s="4"/>
      <c r="J648" s="4"/>
    </row>
    <row r="649" spans="1:10" ht="17.25" customHeight="1">
      <c r="A649" s="38">
        <v>39597</v>
      </c>
      <c r="B649" s="30">
        <v>103.79</v>
      </c>
      <c r="C649" s="37">
        <f t="shared" si="348"/>
        <v>103.27105</v>
      </c>
      <c r="D649" s="37">
        <f t="shared" si="351"/>
        <v>104.30895</v>
      </c>
      <c r="E649" s="81">
        <f>4753.135/4893.543*100</f>
        <v>97.130749642947862</v>
      </c>
      <c r="F649" s="34">
        <v>160894.48000000001</v>
      </c>
      <c r="G649" s="32">
        <f t="shared" si="347"/>
        <v>16.699238079200001</v>
      </c>
      <c r="H649" s="37">
        <v>4753.1350000000002</v>
      </c>
      <c r="I649" s="4"/>
      <c r="J649" s="4"/>
    </row>
    <row r="650" spans="1:10" ht="17.25" customHeight="1">
      <c r="A650" s="38">
        <v>39590</v>
      </c>
      <c r="B650" s="30">
        <v>104.12</v>
      </c>
      <c r="C650" s="37">
        <f t="shared" si="348"/>
        <v>103.5994</v>
      </c>
      <c r="D650" s="37">
        <f t="shared" si="351"/>
        <v>104.64059999999999</v>
      </c>
      <c r="E650" s="81">
        <f>4792.78/4893.543*100</f>
        <v>97.940898853857021</v>
      </c>
      <c r="F650" s="34">
        <v>160894.48000000001</v>
      </c>
      <c r="G650" s="32">
        <f>F650*B650/1000000</f>
        <v>16.752333257600004</v>
      </c>
      <c r="H650" s="37">
        <v>4792.78</v>
      </c>
      <c r="I650" s="4"/>
      <c r="J650" s="4"/>
    </row>
    <row r="651" spans="1:10" ht="17.25" customHeight="1">
      <c r="A651" s="38">
        <v>39583</v>
      </c>
      <c r="B651" s="30">
        <v>103.8</v>
      </c>
      <c r="C651" s="37">
        <f t="shared" si="348"/>
        <v>103.28099999999999</v>
      </c>
      <c r="D651" s="37">
        <f t="shared" si="351"/>
        <v>104.31899999999999</v>
      </c>
      <c r="E651" s="81">
        <f>4818.848/4893.543*100</f>
        <v>98.473600824596829</v>
      </c>
      <c r="F651" s="34">
        <v>160894.48000000001</v>
      </c>
      <c r="G651" s="32">
        <f t="shared" si="347"/>
        <v>16.700847024000002</v>
      </c>
      <c r="H651" s="37">
        <v>4818.848</v>
      </c>
      <c r="I651" s="4"/>
      <c r="J651" s="4"/>
    </row>
    <row r="652" spans="1:10" ht="17.25" customHeight="1">
      <c r="A652" s="38">
        <v>39576</v>
      </c>
      <c r="B652" s="30">
        <v>103.43</v>
      </c>
      <c r="C652" s="37">
        <f t="shared" si="348"/>
        <v>102.91285000000001</v>
      </c>
      <c r="D652" s="37">
        <f t="shared" si="351"/>
        <v>103.94714999999999</v>
      </c>
      <c r="E652" s="81">
        <f>4756.26/4893.543*100</f>
        <v>97.194609304546844</v>
      </c>
      <c r="F652" s="34">
        <v>160894.48000000001</v>
      </c>
      <c r="G652" s="32">
        <f t="shared" si="347"/>
        <v>16.641316066400002</v>
      </c>
      <c r="H652" s="37">
        <v>4756.26</v>
      </c>
      <c r="I652" s="4"/>
      <c r="J652" s="4"/>
    </row>
    <row r="653" spans="1:10" ht="17.25" customHeight="1">
      <c r="A653" s="38">
        <v>39569</v>
      </c>
      <c r="B653" s="30">
        <v>103.1</v>
      </c>
      <c r="C653" s="37">
        <f t="shared" si="348"/>
        <v>102.58449999999999</v>
      </c>
      <c r="D653" s="37">
        <f t="shared" si="351"/>
        <v>103.61549999999998</v>
      </c>
      <c r="E653" s="81">
        <f>4715.599/4893.543*100</f>
        <v>96.36369804045863</v>
      </c>
      <c r="F653" s="34">
        <v>160894.48000000001</v>
      </c>
      <c r="G653" s="32">
        <f t="shared" si="347"/>
        <v>16.588220887999999</v>
      </c>
      <c r="H653" s="37">
        <v>4715.5990000000002</v>
      </c>
      <c r="I653" s="4"/>
      <c r="J653" s="4"/>
    </row>
    <row r="654" spans="1:10" s="18" customFormat="1" ht="17.25" customHeight="1">
      <c r="A654" s="38">
        <v>39562</v>
      </c>
      <c r="B654" s="30">
        <v>102.43</v>
      </c>
      <c r="C654" s="37">
        <f t="shared" si="348"/>
        <v>101.91785</v>
      </c>
      <c r="D654" s="37">
        <f t="shared" ref="D654:D659" si="352">1.005*B654</f>
        <v>102.94215</v>
      </c>
      <c r="E654" s="81">
        <f>4664.235/4893.543*100</f>
        <v>95.314069989780421</v>
      </c>
      <c r="F654" s="34">
        <v>160894.48000000001</v>
      </c>
      <c r="G654" s="32">
        <f t="shared" si="347"/>
        <v>16.480421586400002</v>
      </c>
      <c r="H654" s="37">
        <v>4664.2349999999997</v>
      </c>
      <c r="I654" s="4"/>
      <c r="J654" s="17"/>
    </row>
    <row r="655" spans="1:10" ht="17.25" customHeight="1">
      <c r="A655" s="38">
        <v>39555</v>
      </c>
      <c r="B655" s="30">
        <v>102.75</v>
      </c>
      <c r="C655" s="37">
        <f t="shared" si="348"/>
        <v>102.23625</v>
      </c>
      <c r="D655" s="37">
        <f t="shared" si="352"/>
        <v>103.26374999999999</v>
      </c>
      <c r="E655" s="81">
        <f>4620.814/4893.543*100</f>
        <v>94.426757872568018</v>
      </c>
      <c r="F655" s="34">
        <v>160894.48000000001</v>
      </c>
      <c r="G655" s="32">
        <f t="shared" si="347"/>
        <v>16.531907820000001</v>
      </c>
      <c r="H655" s="37">
        <v>4620.8140000000003</v>
      </c>
      <c r="I655" s="4"/>
      <c r="J655" s="4"/>
    </row>
    <row r="656" spans="1:10" ht="17.25" customHeight="1">
      <c r="A656" s="38">
        <v>39548</v>
      </c>
      <c r="B656" s="30">
        <v>101.7</v>
      </c>
      <c r="C656" s="37">
        <f t="shared" si="348"/>
        <v>101.1915</v>
      </c>
      <c r="D656" s="37">
        <f t="shared" si="352"/>
        <v>102.20849999999999</v>
      </c>
      <c r="E656" s="81">
        <f>4591.767/4893.543*100</f>
        <v>93.833179763619128</v>
      </c>
      <c r="F656" s="34">
        <v>160894.48000000001</v>
      </c>
      <c r="G656" s="32">
        <f t="shared" si="347"/>
        <v>16.362968616000003</v>
      </c>
      <c r="H656" s="37">
        <v>4591.7669999999998</v>
      </c>
      <c r="I656" s="4"/>
      <c r="J656" s="4"/>
    </row>
    <row r="657" spans="1:10" s="15" customFormat="1" ht="17.25" customHeight="1">
      <c r="A657" s="38">
        <v>39541</v>
      </c>
      <c r="B657" s="30">
        <v>101.71</v>
      </c>
      <c r="C657" s="37">
        <f t="shared" si="348"/>
        <v>101.20144999999999</v>
      </c>
      <c r="D657" s="37">
        <f t="shared" si="352"/>
        <v>102.21854999999998</v>
      </c>
      <c r="E657" s="81">
        <f>4606.191/4893.543*100</f>
        <v>94.127935526468249</v>
      </c>
      <c r="F657" s="34">
        <v>160894</v>
      </c>
      <c r="G657" s="32">
        <f t="shared" si="347"/>
        <v>16.364528739999997</v>
      </c>
      <c r="H657" s="37">
        <v>4606.1909999999998</v>
      </c>
      <c r="I657" s="4"/>
      <c r="J657" s="14"/>
    </row>
    <row r="658" spans="1:10" ht="17.25" customHeight="1">
      <c r="A658" s="38">
        <v>39534</v>
      </c>
      <c r="B658" s="37">
        <v>100.44</v>
      </c>
      <c r="C658" s="37">
        <f t="shared" si="348"/>
        <v>99.937799999999996</v>
      </c>
      <c r="D658" s="37">
        <f t="shared" si="352"/>
        <v>100.94219999999999</v>
      </c>
      <c r="E658" s="81">
        <f>4474.488/4893.543*100</f>
        <v>91.436572642766194</v>
      </c>
      <c r="F658" s="31">
        <v>160893.48000000001</v>
      </c>
      <c r="G658" s="37">
        <f t="shared" si="347"/>
        <v>16.1601411312</v>
      </c>
      <c r="H658" s="37">
        <v>4474.4880000000003</v>
      </c>
      <c r="I658" s="4"/>
      <c r="J658" s="4"/>
    </row>
    <row r="659" spans="1:10" ht="17.25" customHeight="1">
      <c r="A659" s="38">
        <v>39527</v>
      </c>
      <c r="B659" s="37">
        <v>97.85</v>
      </c>
      <c r="C659" s="37">
        <f t="shared" si="348"/>
        <v>97.360749999999996</v>
      </c>
      <c r="D659" s="37">
        <f t="shared" si="352"/>
        <v>98.339249999999979</v>
      </c>
      <c r="E659" s="81">
        <f>4347.487/4893.543*100</f>
        <v>88.841295560292423</v>
      </c>
      <c r="F659" s="31">
        <v>160894.48000000001</v>
      </c>
      <c r="G659" s="37">
        <f t="shared" si="347"/>
        <v>15.743524868000002</v>
      </c>
      <c r="H659" s="37">
        <v>4347.4870000000001</v>
      </c>
      <c r="I659" s="4"/>
      <c r="J659" s="4"/>
    </row>
    <row r="660" spans="1:10" ht="17.25" customHeight="1">
      <c r="A660" s="38">
        <v>39520</v>
      </c>
      <c r="B660" s="37">
        <v>99.4</v>
      </c>
      <c r="C660" s="37">
        <f t="shared" si="348"/>
        <v>98.903000000000006</v>
      </c>
      <c r="D660" s="37">
        <f t="shared" ref="D660:D665" si="353">1.005*B660</f>
        <v>99.896999999999991</v>
      </c>
      <c r="E660" s="81">
        <f>4420.51/4893.543*100</f>
        <v>90.333527262353684</v>
      </c>
      <c r="F660" s="31">
        <v>160894.48000000001</v>
      </c>
      <c r="G660" s="37">
        <f t="shared" si="347"/>
        <v>15.992911312000002</v>
      </c>
      <c r="H660" s="37">
        <v>4420.51</v>
      </c>
      <c r="I660" s="4"/>
      <c r="J660" s="4"/>
    </row>
    <row r="661" spans="1:10" ht="17.25" customHeight="1">
      <c r="A661" s="38">
        <v>39513</v>
      </c>
      <c r="B661" s="37">
        <v>99.83</v>
      </c>
      <c r="C661" s="37">
        <f t="shared" si="348"/>
        <v>99.330849999999998</v>
      </c>
      <c r="D661" s="37">
        <f t="shared" si="353"/>
        <v>100.32914999999998</v>
      </c>
      <c r="E661" s="81">
        <f>4421.654/4893.543*100</f>
        <v>90.356905007271848</v>
      </c>
      <c r="F661" s="31">
        <v>160894.48000000001</v>
      </c>
      <c r="G661" s="37">
        <f t="shared" ref="G661:G670" si="354">F661*B661/1000000</f>
        <v>16.062095938399999</v>
      </c>
      <c r="H661" s="37">
        <v>4421.6540000000005</v>
      </c>
      <c r="I661" s="4"/>
      <c r="J661" s="4"/>
    </row>
    <row r="662" spans="1:10" ht="17.25" customHeight="1">
      <c r="A662" s="38">
        <v>39506</v>
      </c>
      <c r="B662" s="37">
        <v>100.44</v>
      </c>
      <c r="C662" s="37">
        <f t="shared" si="348"/>
        <v>99.937799999999996</v>
      </c>
      <c r="D662" s="37">
        <f t="shared" si="353"/>
        <v>100.94219999999999</v>
      </c>
      <c r="E662" s="81">
        <f>4588.141/4893.543*100</f>
        <v>93.759082121072595</v>
      </c>
      <c r="F662" s="31">
        <v>160894.48000000001</v>
      </c>
      <c r="G662" s="37">
        <f t="shared" si="354"/>
        <v>16.1602415712</v>
      </c>
      <c r="H662" s="37">
        <v>4588.1409999999996</v>
      </c>
      <c r="I662" s="4"/>
      <c r="J662" s="4"/>
    </row>
    <row r="663" spans="1:10" ht="17.25" customHeight="1">
      <c r="A663" s="38">
        <v>39499</v>
      </c>
      <c r="B663" s="37">
        <v>98.8</v>
      </c>
      <c r="C663" s="37">
        <f t="shared" si="348"/>
        <v>98.305999999999997</v>
      </c>
      <c r="D663" s="37">
        <f t="shared" si="353"/>
        <v>99.293999999999983</v>
      </c>
      <c r="E663" s="81">
        <f>4468.407/4893.543*100</f>
        <v>91.312306850067543</v>
      </c>
      <c r="F663" s="31">
        <v>160894.48000000001</v>
      </c>
      <c r="G663" s="37">
        <f t="shared" si="354"/>
        <v>15.896374624</v>
      </c>
      <c r="H663" s="37">
        <v>4468.4070000000002</v>
      </c>
      <c r="I663" s="4"/>
      <c r="J663" s="4"/>
    </row>
    <row r="664" spans="1:10" ht="17.25" customHeight="1">
      <c r="A664" s="38">
        <v>39492</v>
      </c>
      <c r="B664" s="37">
        <v>98.61</v>
      </c>
      <c r="C664" s="37">
        <f t="shared" si="348"/>
        <v>98.116950000000003</v>
      </c>
      <c r="D664" s="37">
        <f t="shared" si="353"/>
        <v>99.103049999999982</v>
      </c>
      <c r="E664" s="81">
        <f>4461.98/4893.543*100</f>
        <v>91.180970515636631</v>
      </c>
      <c r="F664" s="31">
        <v>160894.48000000001</v>
      </c>
      <c r="G664" s="37">
        <f t="shared" si="354"/>
        <v>15.865804672800001</v>
      </c>
      <c r="H664" s="37">
        <v>4461.9799999999996</v>
      </c>
      <c r="I664" s="4"/>
      <c r="J664" s="4"/>
    </row>
    <row r="665" spans="1:10" ht="17.25" customHeight="1">
      <c r="A665" s="38">
        <v>39485</v>
      </c>
      <c r="B665" s="37">
        <v>97.99</v>
      </c>
      <c r="C665" s="37">
        <f t="shared" si="348"/>
        <v>97.500049999999987</v>
      </c>
      <c r="D665" s="37">
        <f t="shared" si="353"/>
        <v>98.479949999999988</v>
      </c>
      <c r="E665" s="81">
        <f>4369.457/4893.543*100</f>
        <v>89.29025452519781</v>
      </c>
      <c r="F665" s="31">
        <v>160894.48000000001</v>
      </c>
      <c r="G665" s="37">
        <f t="shared" si="354"/>
        <v>15.766050095200001</v>
      </c>
      <c r="H665" s="37">
        <v>4369.4570000000003</v>
      </c>
      <c r="I665" s="4"/>
      <c r="J665" s="4"/>
    </row>
    <row r="666" spans="1:10" ht="17.25" customHeight="1">
      <c r="A666" s="38">
        <v>39478</v>
      </c>
      <c r="B666" s="37">
        <v>98.4101</v>
      </c>
      <c r="C666" s="37">
        <f t="shared" si="348"/>
        <v>97.918049499999995</v>
      </c>
      <c r="D666" s="37">
        <f>1.005*B666</f>
        <v>98.902150499999991</v>
      </c>
      <c r="E666" s="81">
        <f>4520.672/4893.543*100</f>
        <v>92.380346918377953</v>
      </c>
      <c r="F666" s="31">
        <v>160894.48000000001</v>
      </c>
      <c r="G666" s="37">
        <f t="shared" si="354"/>
        <v>15.833641866248</v>
      </c>
      <c r="H666" s="37">
        <v>4520.6719999999996</v>
      </c>
      <c r="I666" s="4"/>
      <c r="J666" s="4"/>
    </row>
    <row r="667" spans="1:10" ht="17.25" customHeight="1">
      <c r="A667" s="38">
        <v>39471</v>
      </c>
      <c r="B667" s="37">
        <v>97.097310808862943</v>
      </c>
      <c r="C667" s="37">
        <f t="shared" si="348"/>
        <v>96.611824254818629</v>
      </c>
      <c r="D667" s="37">
        <f>1.005*B667</f>
        <v>97.582797362907243</v>
      </c>
      <c r="E667" s="81">
        <f>4438.217/4893.543*100</f>
        <v>90.695371431292216</v>
      </c>
      <c r="F667" s="31">
        <v>160894.48000000001</v>
      </c>
      <c r="G667" s="37">
        <f t="shared" si="354"/>
        <v>15.622421331990383</v>
      </c>
      <c r="H667" s="37">
        <v>4438.2169999999996</v>
      </c>
      <c r="I667" s="4"/>
      <c r="J667" s="4"/>
    </row>
    <row r="668" spans="1:10" ht="17.25" customHeight="1">
      <c r="A668" s="38">
        <v>39464</v>
      </c>
      <c r="B668" s="37">
        <v>97.205699999999993</v>
      </c>
      <c r="C668" s="37">
        <f t="shared" si="348"/>
        <v>96.71967149999999</v>
      </c>
      <c r="D668" s="37">
        <f>1.005*B668</f>
        <v>97.691728499999982</v>
      </c>
      <c r="E668" s="81">
        <f>4464.85/4893.543*100</f>
        <v>91.239619228849136</v>
      </c>
      <c r="F668" s="31">
        <v>158362.65</v>
      </c>
      <c r="G668" s="37">
        <f t="shared" si="354"/>
        <v>15.393752247104999</v>
      </c>
      <c r="H668" s="37">
        <v>4464.8500000000004</v>
      </c>
      <c r="I668" s="4"/>
      <c r="J668" s="4"/>
    </row>
    <row r="669" spans="1:10" ht="17.25" customHeight="1">
      <c r="A669" s="38">
        <v>39457</v>
      </c>
      <c r="B669" s="37">
        <v>100.06</v>
      </c>
      <c r="C669" s="37">
        <f t="shared" si="348"/>
        <v>99.559700000000007</v>
      </c>
      <c r="D669" s="37">
        <f>1.005*B669</f>
        <v>100.5603</v>
      </c>
      <c r="E669" s="81">
        <f>4713.876/4893.543*100</f>
        <v>96.328488377439427</v>
      </c>
      <c r="F669" s="31">
        <v>158362.65</v>
      </c>
      <c r="G669" s="37">
        <f t="shared" si="354"/>
        <v>15.845766759</v>
      </c>
      <c r="H669" s="37">
        <v>4713.8760000000002</v>
      </c>
      <c r="I669" s="4"/>
      <c r="J669" s="4"/>
    </row>
    <row r="670" spans="1:10" ht="16.5" thickBot="1">
      <c r="A670" s="47">
        <v>39447</v>
      </c>
      <c r="B670" s="48">
        <v>100</v>
      </c>
      <c r="C670" s="48">
        <f t="shared" si="348"/>
        <v>99.5</v>
      </c>
      <c r="D670" s="48">
        <f>1.005*B670</f>
        <v>100.49999999999999</v>
      </c>
      <c r="E670" s="81">
        <f>4893.543/4893.543*100</f>
        <v>100</v>
      </c>
      <c r="F670" s="49">
        <v>158362.65</v>
      </c>
      <c r="G670" s="48">
        <f t="shared" si="354"/>
        <v>15.836264999999999</v>
      </c>
      <c r="H670" s="48">
        <v>4893.5429999999997</v>
      </c>
    </row>
    <row r="671" spans="1:10">
      <c r="A671" s="41"/>
      <c r="B671" s="42"/>
      <c r="C671" s="42"/>
      <c r="D671" s="42"/>
      <c r="E671" s="42"/>
      <c r="F671" s="43"/>
      <c r="G671" s="19"/>
    </row>
    <row r="672" spans="1:10">
      <c r="A672" s="41"/>
      <c r="B672" s="42"/>
      <c r="C672" s="42"/>
      <c r="D672" s="42"/>
      <c r="E672" s="42"/>
      <c r="F672" s="43"/>
      <c r="G672" s="19"/>
    </row>
    <row r="673" spans="1:7">
      <c r="A673" s="41"/>
      <c r="B673" s="42"/>
      <c r="C673" s="42"/>
      <c r="D673" s="42"/>
      <c r="E673" s="42"/>
      <c r="F673" s="43"/>
      <c r="G673" s="19"/>
    </row>
    <row r="674" spans="1:7">
      <c r="A674" s="41"/>
      <c r="B674" s="42"/>
      <c r="C674" s="42"/>
      <c r="D674" s="42"/>
      <c r="E674" s="42"/>
      <c r="F674" s="43"/>
      <c r="G674" s="19"/>
    </row>
    <row r="675" spans="1:7">
      <c r="A675" s="41"/>
      <c r="B675" s="42"/>
      <c r="C675" s="42"/>
      <c r="D675" s="42"/>
      <c r="E675" s="42"/>
      <c r="F675" s="43"/>
      <c r="G675" s="19"/>
    </row>
    <row r="676" spans="1:7">
      <c r="A676" s="41"/>
      <c r="B676" s="42"/>
      <c r="C676" s="42"/>
      <c r="D676" s="42"/>
      <c r="E676" s="42"/>
      <c r="F676" s="43"/>
      <c r="G676" s="19"/>
    </row>
    <row r="677" spans="1:7">
      <c r="A677" s="41"/>
      <c r="B677" s="42"/>
      <c r="C677" s="42"/>
      <c r="D677" s="42"/>
      <c r="E677" s="42"/>
      <c r="F677" s="43"/>
      <c r="G677" s="19"/>
    </row>
    <row r="678" spans="1:7">
      <c r="A678" s="41"/>
      <c r="B678" s="42"/>
      <c r="C678" s="42"/>
      <c r="D678" s="42"/>
      <c r="E678" s="42"/>
      <c r="F678" s="43"/>
      <c r="G678" s="19"/>
    </row>
    <row r="679" spans="1:7">
      <c r="A679" s="41"/>
      <c r="B679" s="42"/>
      <c r="C679" s="42"/>
      <c r="D679" s="42"/>
      <c r="E679" s="42"/>
      <c r="F679" s="43"/>
      <c r="G679" s="19"/>
    </row>
    <row r="680" spans="1:7">
      <c r="A680" s="41"/>
      <c r="B680" s="42"/>
      <c r="C680" s="42"/>
      <c r="D680" s="42"/>
      <c r="E680" s="42"/>
      <c r="F680" s="43"/>
      <c r="G680" s="19"/>
    </row>
    <row r="681" spans="1:7">
      <c r="A681" s="41"/>
      <c r="B681" s="42"/>
      <c r="C681" s="42"/>
      <c r="D681" s="42"/>
      <c r="E681" s="42"/>
      <c r="F681" s="43"/>
      <c r="G681" s="19"/>
    </row>
    <row r="682" spans="1:7">
      <c r="A682" s="41"/>
      <c r="B682" s="42"/>
      <c r="C682" s="42"/>
      <c r="D682" s="42"/>
      <c r="E682" s="42"/>
      <c r="F682" s="43"/>
      <c r="G682" s="19"/>
    </row>
    <row r="683" spans="1:7">
      <c r="A683" s="41"/>
      <c r="B683" s="42"/>
      <c r="C683" s="42"/>
      <c r="D683" s="42"/>
      <c r="E683" s="42"/>
      <c r="F683" s="43"/>
      <c r="G683" s="19"/>
    </row>
    <row r="684" spans="1:7">
      <c r="A684" s="41"/>
      <c r="B684" s="42"/>
      <c r="C684" s="42"/>
      <c r="D684" s="42"/>
      <c r="E684" s="42"/>
      <c r="F684" s="43"/>
      <c r="G684" s="19"/>
    </row>
    <row r="685" spans="1:7">
      <c r="A685" s="41"/>
      <c r="B685" s="42"/>
      <c r="C685" s="42"/>
      <c r="D685" s="42"/>
      <c r="E685" s="42"/>
      <c r="F685" s="43"/>
      <c r="G685" s="19"/>
    </row>
    <row r="686" spans="1:7">
      <c r="A686" s="41"/>
      <c r="B686" s="42"/>
      <c r="C686" s="42"/>
      <c r="D686" s="42"/>
      <c r="E686" s="42"/>
      <c r="F686" s="43"/>
      <c r="G686" s="19"/>
    </row>
    <row r="687" spans="1:7">
      <c r="A687" s="41"/>
      <c r="B687" s="42"/>
      <c r="C687" s="42"/>
      <c r="D687" s="42"/>
      <c r="E687" s="42"/>
      <c r="F687" s="43"/>
      <c r="G687" s="19"/>
    </row>
    <row r="688" spans="1:7">
      <c r="A688" s="41"/>
      <c r="B688" s="42"/>
      <c r="C688" s="42"/>
      <c r="D688" s="42"/>
      <c r="E688" s="42"/>
      <c r="F688" s="43"/>
      <c r="G688" s="19"/>
    </row>
    <row r="689" spans="1:7">
      <c r="A689" s="41"/>
      <c r="B689" s="42"/>
      <c r="C689" s="42"/>
      <c r="D689" s="42"/>
      <c r="E689" s="42"/>
      <c r="F689" s="43"/>
      <c r="G689" s="19"/>
    </row>
    <row r="690" spans="1:7">
      <c r="A690" s="41"/>
      <c r="B690" s="42"/>
      <c r="C690" s="42"/>
      <c r="D690" s="42"/>
      <c r="E690" s="42"/>
      <c r="F690" s="43"/>
      <c r="G690" s="19"/>
    </row>
    <row r="691" spans="1:7">
      <c r="A691" s="41"/>
      <c r="B691" s="42"/>
      <c r="C691" s="42"/>
      <c r="D691" s="42"/>
      <c r="E691" s="42"/>
      <c r="F691" s="43"/>
      <c r="G691" s="19"/>
    </row>
    <row r="692" spans="1:7">
      <c r="A692" s="41"/>
      <c r="B692" s="42"/>
      <c r="C692" s="42"/>
      <c r="D692" s="42"/>
      <c r="E692" s="42"/>
      <c r="F692" s="43"/>
      <c r="G692" s="19"/>
    </row>
    <row r="693" spans="1:7">
      <c r="A693" s="41"/>
      <c r="B693" s="42"/>
      <c r="C693" s="42"/>
      <c r="D693" s="42"/>
      <c r="E693" s="42"/>
      <c r="F693" s="43"/>
      <c r="G693" s="19"/>
    </row>
    <row r="694" spans="1:7">
      <c r="A694" s="41"/>
      <c r="B694" s="42"/>
      <c r="C694" s="42"/>
      <c r="D694" s="42"/>
      <c r="E694" s="42"/>
      <c r="F694" s="43"/>
      <c r="G694" s="19"/>
    </row>
    <row r="695" spans="1:7">
      <c r="A695" s="41"/>
      <c r="B695" s="42"/>
      <c r="C695" s="42"/>
      <c r="D695" s="42"/>
      <c r="E695" s="42"/>
      <c r="F695" s="43"/>
      <c r="G695" s="19"/>
    </row>
    <row r="696" spans="1:7">
      <c r="A696" s="41"/>
      <c r="B696" s="42"/>
      <c r="C696" s="42"/>
      <c r="D696" s="42"/>
      <c r="E696" s="42"/>
      <c r="F696" s="43"/>
      <c r="G696" s="19"/>
    </row>
    <row r="697" spans="1:7">
      <c r="A697" s="41"/>
      <c r="B697" s="42"/>
      <c r="C697" s="42"/>
      <c r="D697" s="42"/>
      <c r="E697" s="42"/>
      <c r="F697" s="43"/>
      <c r="G697" s="19"/>
    </row>
    <row r="698" spans="1:7">
      <c r="A698" s="41"/>
      <c r="B698" s="42"/>
      <c r="C698" s="42"/>
      <c r="D698" s="42"/>
      <c r="E698" s="42"/>
      <c r="F698" s="43"/>
      <c r="G698" s="19"/>
    </row>
    <row r="699" spans="1:7">
      <c r="A699" s="41"/>
      <c r="B699" s="42"/>
      <c r="C699" s="42"/>
      <c r="D699" s="42"/>
      <c r="E699" s="42"/>
      <c r="F699" s="43"/>
      <c r="G699" s="19"/>
    </row>
    <row r="700" spans="1:7">
      <c r="A700" s="41"/>
      <c r="B700" s="42"/>
      <c r="C700" s="42"/>
      <c r="D700" s="42"/>
      <c r="E700" s="42"/>
      <c r="F700" s="43"/>
      <c r="G700" s="19"/>
    </row>
    <row r="701" spans="1:7">
      <c r="A701" s="41"/>
      <c r="B701" s="42"/>
      <c r="C701" s="42"/>
      <c r="D701" s="42"/>
      <c r="E701" s="42"/>
      <c r="F701" s="43"/>
      <c r="G701" s="19"/>
    </row>
    <row r="702" spans="1:7">
      <c r="A702" s="41"/>
      <c r="B702" s="42"/>
      <c r="C702" s="42"/>
      <c r="D702" s="42"/>
      <c r="E702" s="42"/>
      <c r="F702" s="43"/>
      <c r="G702" s="19"/>
    </row>
    <row r="703" spans="1:7">
      <c r="A703" s="41"/>
      <c r="B703" s="42"/>
      <c r="C703" s="42"/>
      <c r="D703" s="42"/>
      <c r="E703" s="42"/>
      <c r="F703" s="43"/>
      <c r="G703" s="19"/>
    </row>
    <row r="704" spans="1:7">
      <c r="A704" s="41"/>
      <c r="B704" s="42"/>
      <c r="C704" s="42"/>
      <c r="D704" s="42"/>
      <c r="E704" s="42"/>
      <c r="F704" s="43"/>
      <c r="G704" s="4"/>
    </row>
    <row r="705" spans="1:7">
      <c r="A705" s="41"/>
      <c r="B705" s="42"/>
      <c r="C705" s="42"/>
      <c r="D705" s="42"/>
      <c r="E705" s="42"/>
      <c r="F705" s="43"/>
      <c r="G705" s="4"/>
    </row>
    <row r="706" spans="1:7">
      <c r="A706" s="41"/>
      <c r="B706" s="42"/>
      <c r="C706" s="42"/>
      <c r="D706" s="42"/>
      <c r="E706" s="42"/>
      <c r="F706" s="43"/>
      <c r="G706" s="4"/>
    </row>
    <row r="707" spans="1:7">
      <c r="A707" s="41"/>
      <c r="B707" s="42"/>
      <c r="C707" s="42"/>
      <c r="D707" s="42"/>
      <c r="E707" s="42"/>
      <c r="F707" s="43"/>
      <c r="G707" s="19"/>
    </row>
    <row r="708" spans="1:7">
      <c r="A708" s="41"/>
      <c r="B708" s="42"/>
      <c r="C708" s="42"/>
      <c r="D708" s="42"/>
      <c r="E708" s="42"/>
      <c r="F708" s="43"/>
      <c r="G708" s="19"/>
    </row>
    <row r="709" spans="1:7">
      <c r="A709" s="41"/>
      <c r="B709" s="42"/>
      <c r="C709" s="42"/>
      <c r="D709" s="42"/>
      <c r="E709" s="42"/>
      <c r="F709" s="43"/>
      <c r="G709" s="19"/>
    </row>
    <row r="710" spans="1:7">
      <c r="A710" s="41"/>
      <c r="B710" s="42"/>
      <c r="C710" s="42"/>
      <c r="D710" s="42"/>
      <c r="E710" s="42"/>
      <c r="F710" s="43"/>
      <c r="G710" s="19"/>
    </row>
    <row r="711" spans="1:7">
      <c r="A711" s="41"/>
      <c r="B711" s="42"/>
      <c r="C711" s="42"/>
      <c r="D711" s="42"/>
      <c r="E711" s="42"/>
      <c r="F711" s="43"/>
      <c r="G711" s="19"/>
    </row>
    <row r="712" spans="1:7">
      <c r="A712" s="41"/>
      <c r="B712" s="42"/>
      <c r="C712" s="42"/>
      <c r="D712" s="42"/>
      <c r="E712" s="42"/>
      <c r="F712" s="43"/>
      <c r="G712" s="19"/>
    </row>
    <row r="713" spans="1:7">
      <c r="A713" s="41"/>
      <c r="B713" s="42"/>
      <c r="C713" s="42"/>
      <c r="D713" s="42"/>
      <c r="E713" s="42"/>
      <c r="F713" s="43"/>
      <c r="G713" s="19"/>
    </row>
    <row r="714" spans="1:7">
      <c r="A714" s="41"/>
      <c r="B714" s="42"/>
      <c r="C714" s="42"/>
      <c r="D714" s="42"/>
      <c r="E714" s="42"/>
      <c r="F714" s="43"/>
      <c r="G714" s="19"/>
    </row>
    <row r="715" spans="1:7">
      <c r="A715" s="41"/>
      <c r="B715" s="42"/>
      <c r="C715" s="42"/>
      <c r="D715" s="42"/>
      <c r="E715" s="42"/>
      <c r="F715" s="43"/>
      <c r="G715" s="19"/>
    </row>
    <row r="716" spans="1:7">
      <c r="A716" s="41"/>
      <c r="B716" s="42"/>
      <c r="C716" s="42"/>
      <c r="D716" s="42"/>
      <c r="E716" s="42"/>
      <c r="F716" s="43"/>
      <c r="G716" s="19"/>
    </row>
    <row r="717" spans="1:7">
      <c r="A717" s="41"/>
      <c r="B717" s="42"/>
      <c r="C717" s="42"/>
      <c r="D717" s="42"/>
      <c r="E717" s="42"/>
      <c r="F717" s="43"/>
      <c r="G717" s="19"/>
    </row>
    <row r="718" spans="1:7">
      <c r="A718" s="41"/>
      <c r="B718" s="42"/>
      <c r="C718" s="42"/>
      <c r="D718" s="42"/>
      <c r="E718" s="42"/>
      <c r="F718" s="43"/>
      <c r="G718" s="19"/>
    </row>
    <row r="719" spans="1:7">
      <c r="A719" s="41"/>
      <c r="B719" s="42"/>
      <c r="C719" s="42"/>
      <c r="D719" s="42"/>
      <c r="E719" s="42"/>
      <c r="F719" s="43"/>
      <c r="G719" s="19"/>
    </row>
    <row r="720" spans="1:7">
      <c r="A720" s="41"/>
      <c r="B720" s="42"/>
      <c r="C720" s="42"/>
      <c r="D720" s="42"/>
      <c r="E720" s="42"/>
      <c r="F720" s="43"/>
      <c r="G720" s="19"/>
    </row>
    <row r="721" spans="1:7">
      <c r="A721" s="41"/>
      <c r="B721" s="42"/>
      <c r="C721" s="42"/>
      <c r="D721" s="42"/>
      <c r="E721" s="42"/>
      <c r="F721" s="43"/>
      <c r="G721" s="19"/>
    </row>
    <row r="722" spans="1:7">
      <c r="A722" s="41"/>
      <c r="B722" s="42"/>
      <c r="C722" s="42"/>
      <c r="D722" s="42"/>
      <c r="E722" s="42"/>
      <c r="F722" s="43"/>
      <c r="G722" s="19"/>
    </row>
    <row r="723" spans="1:7">
      <c r="A723" s="41"/>
      <c r="B723" s="42"/>
      <c r="C723" s="42"/>
      <c r="D723" s="42"/>
      <c r="E723" s="42"/>
      <c r="F723" s="43"/>
      <c r="G723" s="19"/>
    </row>
    <row r="724" spans="1:7">
      <c r="A724" s="41"/>
      <c r="B724" s="42"/>
      <c r="C724" s="42"/>
      <c r="D724" s="42"/>
      <c r="E724" s="42"/>
      <c r="F724" s="43"/>
      <c r="G724" s="19"/>
    </row>
    <row r="725" spans="1:7">
      <c r="A725" s="41"/>
      <c r="B725" s="42"/>
      <c r="C725" s="42"/>
      <c r="D725" s="42"/>
      <c r="E725" s="42"/>
      <c r="F725" s="43"/>
      <c r="G725" s="19"/>
    </row>
    <row r="726" spans="1:7">
      <c r="A726" s="41"/>
      <c r="B726" s="42"/>
      <c r="C726" s="42"/>
      <c r="D726" s="42"/>
      <c r="E726" s="42"/>
      <c r="F726" s="43"/>
      <c r="G726" s="19"/>
    </row>
    <row r="727" spans="1:7">
      <c r="A727" s="41"/>
      <c r="B727" s="42"/>
      <c r="C727" s="42"/>
      <c r="D727" s="42"/>
      <c r="E727" s="42"/>
      <c r="F727" s="43"/>
      <c r="G727" s="19"/>
    </row>
    <row r="728" spans="1:7">
      <c r="A728" s="41"/>
      <c r="B728" s="42"/>
      <c r="C728" s="42"/>
      <c r="D728" s="42"/>
      <c r="E728" s="42"/>
      <c r="F728" s="43"/>
      <c r="G728" s="19"/>
    </row>
    <row r="729" spans="1:7">
      <c r="A729" s="41"/>
      <c r="B729" s="42"/>
      <c r="C729" s="42"/>
      <c r="D729" s="42"/>
      <c r="E729" s="44"/>
      <c r="F729" s="43"/>
      <c r="G729" s="19"/>
    </row>
    <row r="730" spans="1:7">
      <c r="A730" s="41"/>
      <c r="B730" s="42"/>
      <c r="C730" s="42"/>
      <c r="D730" s="42"/>
      <c r="E730" s="44"/>
      <c r="F730" s="43"/>
      <c r="G730" s="19"/>
    </row>
    <row r="731" spans="1:7">
      <c r="A731" s="41"/>
      <c r="B731" s="42"/>
      <c r="C731" s="42"/>
      <c r="D731" s="42"/>
      <c r="E731" s="44"/>
      <c r="F731" s="43"/>
      <c r="G731" s="19"/>
    </row>
    <row r="732" spans="1:7">
      <c r="A732" s="41"/>
      <c r="B732" s="42"/>
      <c r="C732" s="42"/>
      <c r="D732" s="42"/>
      <c r="E732" s="44"/>
      <c r="F732" s="43"/>
      <c r="G732" s="19"/>
    </row>
    <row r="733" spans="1:7">
      <c r="A733" s="41"/>
      <c r="B733" s="42"/>
      <c r="C733" s="42"/>
      <c r="D733" s="42"/>
      <c r="E733" s="44"/>
      <c r="F733" s="43"/>
      <c r="G733" s="19"/>
    </row>
    <row r="734" spans="1:7">
      <c r="A734" s="41"/>
      <c r="B734" s="42"/>
      <c r="C734" s="42"/>
      <c r="D734" s="42"/>
      <c r="E734" s="44"/>
      <c r="F734" s="43"/>
      <c r="G734" s="19"/>
    </row>
    <row r="735" spans="1:7">
      <c r="A735" s="41"/>
      <c r="B735" s="42"/>
      <c r="C735" s="42"/>
      <c r="D735" s="42"/>
      <c r="E735" s="44"/>
      <c r="F735" s="43"/>
      <c r="G735" s="19"/>
    </row>
    <row r="736" spans="1:7">
      <c r="A736" s="41"/>
      <c r="B736" s="42"/>
      <c r="C736" s="42"/>
      <c r="D736" s="42"/>
      <c r="E736" s="44"/>
      <c r="F736" s="43"/>
      <c r="G736" s="19"/>
    </row>
    <row r="737" spans="1:7">
      <c r="A737" s="41"/>
      <c r="B737" s="42"/>
      <c r="C737" s="42"/>
      <c r="D737" s="42"/>
      <c r="E737" s="44"/>
      <c r="F737" s="43"/>
      <c r="G737" s="19"/>
    </row>
    <row r="738" spans="1:7">
      <c r="A738" s="41"/>
      <c r="B738" s="42"/>
      <c r="C738" s="42"/>
      <c r="D738" s="42"/>
      <c r="E738" s="44"/>
      <c r="F738" s="43"/>
      <c r="G738" s="19"/>
    </row>
    <row r="739" spans="1:7">
      <c r="A739" s="41"/>
      <c r="B739" s="42"/>
      <c r="C739" s="42"/>
      <c r="D739" s="42"/>
      <c r="E739" s="44"/>
      <c r="F739" s="43"/>
      <c r="G739" s="19"/>
    </row>
    <row r="740" spans="1:7">
      <c r="A740" s="41"/>
      <c r="B740" s="42"/>
      <c r="C740" s="42"/>
      <c r="D740" s="42"/>
      <c r="E740" s="44"/>
      <c r="F740" s="43"/>
      <c r="G740" s="19"/>
    </row>
    <row r="741" spans="1:7">
      <c r="A741" s="41"/>
      <c r="B741" s="42"/>
      <c r="C741" s="42"/>
      <c r="D741" s="42"/>
      <c r="E741" s="44"/>
      <c r="F741" s="43"/>
      <c r="G741" s="19"/>
    </row>
    <row r="742" spans="1:7">
      <c r="A742" s="41"/>
      <c r="B742" s="42"/>
      <c r="C742" s="42"/>
      <c r="D742" s="42"/>
      <c r="E742" s="44"/>
      <c r="F742" s="43"/>
      <c r="G742" s="19"/>
    </row>
    <row r="743" spans="1:7">
      <c r="A743" s="41"/>
      <c r="B743" s="42"/>
      <c r="C743" s="42"/>
      <c r="D743" s="42"/>
      <c r="E743" s="44"/>
      <c r="F743" s="43"/>
      <c r="G743" s="19"/>
    </row>
    <row r="744" spans="1:7">
      <c r="A744" s="41"/>
      <c r="B744" s="42"/>
      <c r="C744" s="42"/>
      <c r="D744" s="42"/>
      <c r="E744" s="44"/>
      <c r="F744" s="43"/>
      <c r="G744" s="19"/>
    </row>
    <row r="745" spans="1:7">
      <c r="A745" s="41"/>
      <c r="B745" s="42"/>
      <c r="C745" s="42"/>
      <c r="D745" s="42"/>
      <c r="E745" s="44"/>
      <c r="F745" s="43"/>
      <c r="G745" s="19"/>
    </row>
    <row r="746" spans="1:7">
      <c r="A746" s="41"/>
      <c r="B746" s="42"/>
      <c r="C746" s="42"/>
      <c r="D746" s="42"/>
      <c r="E746" s="44"/>
      <c r="F746" s="43"/>
      <c r="G746" s="19"/>
    </row>
    <row r="747" spans="1:7">
      <c r="A747" s="41"/>
      <c r="B747" s="42"/>
      <c r="C747" s="42"/>
      <c r="D747" s="42"/>
      <c r="E747" s="44"/>
      <c r="F747" s="43"/>
      <c r="G747" s="19"/>
    </row>
    <row r="748" spans="1:7">
      <c r="A748" s="41"/>
      <c r="B748" s="42"/>
      <c r="C748" s="42"/>
      <c r="D748" s="42"/>
      <c r="E748" s="44"/>
      <c r="F748" s="43"/>
      <c r="G748" s="19"/>
    </row>
    <row r="749" spans="1:7">
      <c r="A749" s="41"/>
      <c r="B749" s="42"/>
      <c r="C749" s="42"/>
      <c r="D749" s="42"/>
      <c r="E749" s="44"/>
      <c r="F749" s="43"/>
      <c r="G749" s="19"/>
    </row>
    <row r="750" spans="1:7">
      <c r="A750" s="41"/>
      <c r="B750" s="42"/>
      <c r="C750" s="42"/>
      <c r="D750" s="42"/>
      <c r="E750" s="44"/>
      <c r="F750" s="43"/>
      <c r="G750" s="19"/>
    </row>
    <row r="751" spans="1:7">
      <c r="A751" s="41"/>
      <c r="B751" s="42"/>
      <c r="C751" s="42"/>
      <c r="D751" s="42"/>
      <c r="E751" s="44"/>
      <c r="F751" s="43"/>
      <c r="G751" s="19"/>
    </row>
    <row r="752" spans="1:7">
      <c r="A752" s="41"/>
      <c r="B752" s="42"/>
      <c r="C752" s="42"/>
      <c r="D752" s="42"/>
      <c r="E752" s="44"/>
      <c r="F752" s="43"/>
      <c r="G752" s="19"/>
    </row>
    <row r="753" spans="1:7">
      <c r="A753" s="41"/>
      <c r="B753" s="42"/>
      <c r="C753" s="42"/>
      <c r="D753" s="42"/>
      <c r="E753" s="44"/>
      <c r="F753" s="43"/>
      <c r="G753" s="19"/>
    </row>
    <row r="754" spans="1:7">
      <c r="A754" s="41"/>
      <c r="B754" s="42"/>
      <c r="C754" s="42"/>
      <c r="D754" s="42"/>
      <c r="E754" s="44"/>
      <c r="F754" s="43"/>
      <c r="G754" s="19"/>
    </row>
    <row r="755" spans="1:7">
      <c r="A755" s="41"/>
      <c r="B755" s="42"/>
      <c r="C755" s="42"/>
      <c r="D755" s="42"/>
      <c r="E755" s="44"/>
      <c r="F755" s="43"/>
      <c r="G755" s="19"/>
    </row>
    <row r="756" spans="1:7">
      <c r="A756" s="41"/>
      <c r="B756" s="42"/>
      <c r="C756" s="42"/>
      <c r="D756" s="42"/>
      <c r="E756" s="44"/>
      <c r="F756" s="43"/>
      <c r="G756" s="19"/>
    </row>
    <row r="757" spans="1:7">
      <c r="A757" s="41"/>
      <c r="B757" s="42"/>
      <c r="C757" s="42"/>
      <c r="D757" s="42"/>
      <c r="E757" s="44"/>
      <c r="F757" s="43"/>
      <c r="G757" s="19"/>
    </row>
    <row r="758" spans="1:7">
      <c r="A758" s="41"/>
      <c r="B758" s="42"/>
      <c r="C758" s="42"/>
      <c r="D758" s="42"/>
      <c r="E758" s="44"/>
      <c r="F758" s="43"/>
      <c r="G758" s="19"/>
    </row>
    <row r="759" spans="1:7">
      <c r="A759" s="41"/>
      <c r="B759" s="42"/>
      <c r="C759" s="42"/>
      <c r="D759" s="42"/>
      <c r="E759" s="44"/>
      <c r="F759" s="43"/>
      <c r="G759" s="19"/>
    </row>
    <row r="760" spans="1:7">
      <c r="A760" s="41"/>
      <c r="B760" s="42"/>
      <c r="C760" s="42"/>
      <c r="D760" s="42"/>
      <c r="E760" s="44"/>
      <c r="F760" s="43"/>
      <c r="G760" s="19"/>
    </row>
    <row r="761" spans="1:7">
      <c r="A761" s="41"/>
      <c r="B761" s="42"/>
      <c r="C761" s="42"/>
      <c r="D761" s="42"/>
      <c r="E761" s="44"/>
      <c r="F761" s="43"/>
      <c r="G761" s="19"/>
    </row>
    <row r="762" spans="1:7">
      <c r="A762" s="41"/>
      <c r="B762" s="42"/>
      <c r="C762" s="42"/>
      <c r="D762" s="42"/>
      <c r="E762" s="44"/>
      <c r="F762" s="43"/>
      <c r="G762" s="19"/>
    </row>
    <row r="763" spans="1:7">
      <c r="A763" s="41"/>
      <c r="B763" s="42"/>
      <c r="C763" s="42"/>
      <c r="D763" s="42"/>
      <c r="E763" s="44"/>
      <c r="F763" s="43"/>
      <c r="G763" s="19"/>
    </row>
    <row r="764" spans="1:7">
      <c r="A764" s="41"/>
      <c r="B764" s="42"/>
      <c r="C764" s="42"/>
      <c r="D764" s="42"/>
      <c r="E764" s="44"/>
      <c r="F764" s="43"/>
      <c r="G764" s="19"/>
    </row>
    <row r="765" spans="1:7">
      <c r="A765" s="41"/>
      <c r="B765" s="42"/>
      <c r="C765" s="42"/>
      <c r="D765" s="42"/>
      <c r="E765" s="44"/>
      <c r="F765" s="43"/>
      <c r="G765" s="19"/>
    </row>
    <row r="766" spans="1:7">
      <c r="A766" s="41"/>
      <c r="B766" s="42"/>
      <c r="C766" s="42"/>
      <c r="D766" s="42"/>
      <c r="E766" s="44"/>
      <c r="F766" s="43"/>
      <c r="G766" s="19"/>
    </row>
    <row r="767" spans="1:7">
      <c r="A767" s="41"/>
      <c r="B767" s="42"/>
      <c r="C767" s="42"/>
      <c r="D767" s="42"/>
      <c r="E767" s="44"/>
      <c r="F767" s="43"/>
      <c r="G767" s="19"/>
    </row>
    <row r="768" spans="1:7">
      <c r="A768" s="41"/>
      <c r="B768" s="42"/>
      <c r="C768" s="42"/>
      <c r="D768" s="42"/>
      <c r="E768" s="44"/>
      <c r="F768" s="43"/>
      <c r="G768" s="19"/>
    </row>
    <row r="769" spans="1:7">
      <c r="A769" s="41"/>
      <c r="B769" s="42"/>
      <c r="C769" s="42"/>
      <c r="D769" s="42"/>
      <c r="E769" s="44"/>
      <c r="F769" s="43"/>
      <c r="G769" s="19"/>
    </row>
    <row r="770" spans="1:7">
      <c r="A770" s="41"/>
      <c r="B770" s="42"/>
      <c r="C770" s="42"/>
      <c r="D770" s="42"/>
      <c r="E770" s="44"/>
      <c r="F770" s="43"/>
      <c r="G770" s="19"/>
    </row>
    <row r="771" spans="1:7">
      <c r="A771" s="41"/>
      <c r="B771" s="42"/>
      <c r="C771" s="42"/>
      <c r="D771" s="42"/>
      <c r="E771" s="44"/>
      <c r="F771" s="43"/>
      <c r="G771" s="19"/>
    </row>
    <row r="772" spans="1:7">
      <c r="A772" s="41"/>
      <c r="B772" s="42"/>
      <c r="C772" s="42"/>
      <c r="D772" s="42"/>
      <c r="E772" s="44"/>
      <c r="F772" s="43"/>
      <c r="G772" s="19"/>
    </row>
    <row r="773" spans="1:7">
      <c r="A773" s="41"/>
      <c r="B773" s="42"/>
      <c r="C773" s="42"/>
      <c r="D773" s="42"/>
      <c r="E773" s="44"/>
      <c r="F773" s="43"/>
      <c r="G773" s="19"/>
    </row>
    <row r="774" spans="1:7">
      <c r="A774" s="41"/>
      <c r="B774" s="42"/>
      <c r="C774" s="42"/>
      <c r="D774" s="42"/>
      <c r="E774" s="44"/>
      <c r="F774" s="43"/>
      <c r="G774" s="19"/>
    </row>
    <row r="775" spans="1:7">
      <c r="A775" s="41"/>
      <c r="B775" s="42"/>
      <c r="C775" s="42"/>
      <c r="D775" s="42"/>
      <c r="E775" s="44"/>
      <c r="F775" s="43"/>
      <c r="G775" s="19"/>
    </row>
    <row r="776" spans="1:7">
      <c r="A776" s="41"/>
      <c r="B776" s="42"/>
      <c r="C776" s="42"/>
      <c r="D776" s="42"/>
      <c r="E776" s="44"/>
      <c r="F776" s="43"/>
      <c r="G776" s="19"/>
    </row>
    <row r="777" spans="1:7">
      <c r="A777" s="41"/>
      <c r="B777" s="42"/>
      <c r="C777" s="42"/>
      <c r="D777" s="42"/>
      <c r="E777" s="44"/>
      <c r="F777" s="43"/>
      <c r="G777" s="19"/>
    </row>
    <row r="778" spans="1:7">
      <c r="A778" s="41"/>
      <c r="B778" s="42"/>
      <c r="C778" s="42"/>
      <c r="D778" s="42"/>
      <c r="E778" s="44"/>
      <c r="F778" s="43"/>
      <c r="G778" s="19"/>
    </row>
    <row r="779" spans="1:7">
      <c r="A779" s="41"/>
      <c r="B779" s="42"/>
      <c r="C779" s="42"/>
      <c r="D779" s="42"/>
      <c r="E779" s="44"/>
      <c r="F779" s="43"/>
      <c r="G779" s="19"/>
    </row>
    <row r="780" spans="1:7">
      <c r="A780" s="41"/>
      <c r="B780" s="42"/>
      <c r="C780" s="42"/>
      <c r="D780" s="42"/>
      <c r="E780" s="44"/>
      <c r="F780" s="43"/>
      <c r="G780" s="19"/>
    </row>
    <row r="781" spans="1:7">
      <c r="A781" s="41"/>
      <c r="B781" s="42"/>
      <c r="C781" s="42"/>
      <c r="D781" s="42"/>
      <c r="E781" s="44"/>
      <c r="F781" s="43"/>
      <c r="G781" s="19"/>
    </row>
    <row r="782" spans="1:7">
      <c r="A782" s="41"/>
      <c r="B782" s="42"/>
      <c r="C782" s="42"/>
      <c r="D782" s="42"/>
      <c r="E782" s="44"/>
      <c r="F782" s="43"/>
      <c r="G782" s="19"/>
    </row>
    <row r="783" spans="1:7">
      <c r="A783" s="41"/>
      <c r="B783" s="42"/>
      <c r="C783" s="42"/>
      <c r="D783" s="42"/>
      <c r="E783" s="44"/>
      <c r="F783" s="43"/>
      <c r="G783" s="19"/>
    </row>
    <row r="784" spans="1:7">
      <c r="A784" s="41"/>
      <c r="B784" s="42"/>
      <c r="C784" s="42"/>
      <c r="D784" s="42"/>
      <c r="E784" s="44"/>
      <c r="F784" s="43"/>
      <c r="G784" s="19"/>
    </row>
    <row r="785" spans="1:7">
      <c r="A785" s="41"/>
      <c r="B785" s="42"/>
      <c r="C785" s="42"/>
      <c r="D785" s="42"/>
      <c r="E785" s="44"/>
      <c r="F785" s="43"/>
      <c r="G785" s="19"/>
    </row>
    <row r="786" spans="1:7">
      <c r="A786" s="41"/>
      <c r="B786" s="42"/>
      <c r="C786" s="42"/>
      <c r="D786" s="42"/>
      <c r="E786" s="44"/>
      <c r="F786" s="43"/>
      <c r="G786" s="19"/>
    </row>
    <row r="787" spans="1:7">
      <c r="A787" s="41"/>
      <c r="B787" s="42"/>
      <c r="C787" s="42"/>
      <c r="D787" s="42"/>
      <c r="E787" s="44"/>
      <c r="F787" s="43"/>
      <c r="G787" s="19"/>
    </row>
    <row r="788" spans="1:7">
      <c r="A788" s="41"/>
      <c r="B788" s="42"/>
      <c r="C788" s="42"/>
      <c r="D788" s="42"/>
      <c r="E788" s="44"/>
      <c r="F788" s="43"/>
      <c r="G788" s="19"/>
    </row>
    <row r="789" spans="1:7">
      <c r="A789" s="41"/>
      <c r="B789" s="42"/>
      <c r="C789" s="42"/>
      <c r="D789" s="42"/>
      <c r="E789" s="44"/>
      <c r="F789" s="43"/>
      <c r="G789" s="19"/>
    </row>
    <row r="790" spans="1:7">
      <c r="A790" s="41"/>
      <c r="B790" s="42"/>
      <c r="C790" s="42"/>
      <c r="D790" s="42"/>
      <c r="E790" s="44"/>
      <c r="F790" s="43"/>
      <c r="G790" s="19"/>
    </row>
    <row r="791" spans="1:7">
      <c r="A791" s="41"/>
      <c r="B791" s="42"/>
      <c r="C791" s="42"/>
      <c r="D791" s="42"/>
      <c r="E791" s="44"/>
      <c r="F791" s="43"/>
      <c r="G791" s="19"/>
    </row>
    <row r="792" spans="1:7">
      <c r="A792" s="41"/>
      <c r="B792" s="42"/>
      <c r="C792" s="42"/>
      <c r="D792" s="42"/>
      <c r="E792" s="44"/>
      <c r="F792" s="43"/>
      <c r="G792" s="19"/>
    </row>
    <row r="793" spans="1:7">
      <c r="A793" s="41"/>
      <c r="B793" s="42"/>
      <c r="C793" s="42"/>
      <c r="D793" s="42"/>
      <c r="E793" s="44"/>
      <c r="F793" s="43"/>
      <c r="G793" s="19"/>
    </row>
    <row r="794" spans="1:7">
      <c r="A794" s="41"/>
      <c r="B794" s="42"/>
      <c r="C794" s="42"/>
      <c r="D794" s="42"/>
      <c r="E794" s="44"/>
      <c r="F794" s="43"/>
      <c r="G794" s="19"/>
    </row>
    <row r="795" spans="1:7">
      <c r="A795" s="41"/>
      <c r="B795" s="42"/>
      <c r="C795" s="42"/>
      <c r="D795" s="42"/>
      <c r="E795" s="44"/>
      <c r="F795" s="43"/>
      <c r="G795" s="19"/>
    </row>
    <row r="796" spans="1:7">
      <c r="A796" s="41"/>
      <c r="B796" s="42"/>
      <c r="C796" s="42"/>
      <c r="D796" s="42"/>
      <c r="E796" s="44"/>
      <c r="F796" s="43"/>
      <c r="G796" s="19"/>
    </row>
    <row r="797" spans="1:7">
      <c r="A797" s="41"/>
      <c r="B797" s="42"/>
      <c r="C797" s="42"/>
      <c r="D797" s="42"/>
      <c r="E797" s="44"/>
      <c r="F797" s="43"/>
      <c r="G797" s="19"/>
    </row>
    <row r="798" spans="1:7">
      <c r="A798" s="41"/>
      <c r="B798" s="42"/>
      <c r="C798" s="42"/>
      <c r="D798" s="42"/>
      <c r="E798" s="44"/>
      <c r="F798" s="43"/>
      <c r="G798" s="19"/>
    </row>
    <row r="799" spans="1:7">
      <c r="A799" s="41"/>
      <c r="B799" s="42"/>
      <c r="C799" s="42"/>
      <c r="D799" s="42"/>
      <c r="E799" s="44"/>
      <c r="F799" s="43"/>
      <c r="G799" s="19"/>
    </row>
    <row r="800" spans="1:7">
      <c r="A800" s="41"/>
      <c r="B800" s="42"/>
      <c r="C800" s="42"/>
      <c r="D800" s="42"/>
      <c r="E800" s="44"/>
      <c r="F800" s="43"/>
      <c r="G800" s="19"/>
    </row>
    <row r="801" spans="1:7">
      <c r="A801" s="41"/>
      <c r="B801" s="42"/>
      <c r="C801" s="42"/>
      <c r="D801" s="42"/>
      <c r="E801" s="44"/>
      <c r="F801" s="43"/>
      <c r="G801" s="19"/>
    </row>
    <row r="802" spans="1:7">
      <c r="A802" s="41"/>
      <c r="B802" s="42"/>
      <c r="C802" s="42"/>
      <c r="D802" s="42"/>
      <c r="E802" s="44"/>
      <c r="F802" s="43"/>
      <c r="G802" s="19"/>
    </row>
    <row r="803" spans="1:7">
      <c r="A803" s="41"/>
      <c r="B803" s="42"/>
      <c r="C803" s="42"/>
      <c r="D803" s="42"/>
      <c r="E803" s="44"/>
      <c r="F803" s="43"/>
      <c r="G803" s="19"/>
    </row>
    <row r="804" spans="1:7">
      <c r="A804" s="41"/>
      <c r="B804" s="42"/>
      <c r="C804" s="42"/>
      <c r="D804" s="42"/>
      <c r="E804" s="44"/>
      <c r="F804" s="43"/>
      <c r="G804" s="19"/>
    </row>
    <row r="805" spans="1:7">
      <c r="A805" s="41"/>
      <c r="B805" s="42"/>
      <c r="C805" s="42"/>
      <c r="D805" s="42"/>
      <c r="E805" s="44"/>
      <c r="F805" s="43"/>
      <c r="G805" s="19"/>
    </row>
    <row r="806" spans="1:7">
      <c r="A806" s="41"/>
      <c r="B806" s="42"/>
      <c r="C806" s="42"/>
      <c r="D806" s="42"/>
      <c r="E806" s="44"/>
      <c r="F806" s="43"/>
      <c r="G806" s="19"/>
    </row>
    <row r="807" spans="1:7">
      <c r="A807" s="41"/>
      <c r="B807" s="42"/>
      <c r="C807" s="42"/>
      <c r="D807" s="42"/>
      <c r="E807" s="44"/>
      <c r="F807" s="43"/>
      <c r="G807" s="19"/>
    </row>
    <row r="808" spans="1:7">
      <c r="A808" s="41"/>
      <c r="B808" s="42"/>
      <c r="C808" s="42"/>
      <c r="D808" s="42"/>
      <c r="E808" s="44"/>
      <c r="F808" s="43"/>
      <c r="G808" s="19"/>
    </row>
    <row r="809" spans="1:7">
      <c r="A809" s="41"/>
      <c r="B809" s="42"/>
      <c r="C809" s="42"/>
      <c r="D809" s="42"/>
      <c r="E809" s="44"/>
      <c r="F809" s="43"/>
      <c r="G809" s="19"/>
    </row>
    <row r="810" spans="1:7">
      <c r="A810" s="41"/>
      <c r="B810" s="42"/>
      <c r="C810" s="42"/>
      <c r="D810" s="42"/>
      <c r="E810" s="44"/>
      <c r="F810" s="43"/>
      <c r="G810" s="19"/>
    </row>
    <row r="811" spans="1:7">
      <c r="A811" s="41"/>
      <c r="B811" s="42"/>
      <c r="C811" s="42"/>
      <c r="D811" s="42"/>
      <c r="E811" s="44"/>
      <c r="F811" s="43"/>
      <c r="G811" s="19"/>
    </row>
    <row r="812" spans="1:7">
      <c r="A812" s="41"/>
      <c r="B812" s="42"/>
      <c r="C812" s="42"/>
      <c r="D812" s="42"/>
      <c r="E812" s="44"/>
      <c r="F812" s="43"/>
      <c r="G812" s="19"/>
    </row>
    <row r="813" spans="1:7">
      <c r="A813" s="41"/>
      <c r="B813" s="42"/>
      <c r="C813" s="42"/>
      <c r="D813" s="42"/>
      <c r="E813" s="44"/>
      <c r="F813" s="43"/>
      <c r="G813" s="19"/>
    </row>
    <row r="814" spans="1:7">
      <c r="A814" s="41"/>
      <c r="B814" s="42"/>
      <c r="C814" s="42"/>
      <c r="D814" s="42"/>
      <c r="E814" s="44"/>
      <c r="F814" s="43"/>
      <c r="G814" s="19"/>
    </row>
    <row r="815" spans="1:7">
      <c r="A815" s="41"/>
      <c r="B815" s="42"/>
      <c r="C815" s="42"/>
      <c r="D815" s="42"/>
      <c r="E815" s="44"/>
      <c r="F815" s="43"/>
      <c r="G815" s="19"/>
    </row>
    <row r="816" spans="1:7">
      <c r="A816" s="41"/>
      <c r="B816" s="42"/>
      <c r="C816" s="42"/>
      <c r="D816" s="42"/>
      <c r="E816" s="44"/>
      <c r="F816" s="43"/>
      <c r="G816" s="19"/>
    </row>
    <row r="817" spans="1:7">
      <c r="A817" s="41"/>
      <c r="B817" s="42"/>
      <c r="C817" s="42"/>
      <c r="D817" s="42"/>
      <c r="E817" s="44"/>
      <c r="F817" s="43"/>
      <c r="G817" s="19"/>
    </row>
    <row r="818" spans="1:7">
      <c r="A818" s="41"/>
      <c r="B818" s="42"/>
      <c r="C818" s="42"/>
      <c r="D818" s="42"/>
      <c r="E818" s="44"/>
      <c r="F818" s="43"/>
      <c r="G818" s="19"/>
    </row>
    <row r="819" spans="1:7">
      <c r="A819" s="41"/>
      <c r="B819" s="42"/>
      <c r="C819" s="42"/>
      <c r="D819" s="42"/>
      <c r="E819" s="44"/>
      <c r="F819" s="43"/>
      <c r="G819" s="19"/>
    </row>
    <row r="820" spans="1:7">
      <c r="A820" s="41"/>
      <c r="B820" s="42"/>
      <c r="C820" s="42"/>
      <c r="D820" s="42"/>
      <c r="E820" s="44"/>
      <c r="F820" s="43"/>
      <c r="G820" s="19"/>
    </row>
    <row r="821" spans="1:7">
      <c r="A821" s="41"/>
      <c r="B821" s="42"/>
      <c r="C821" s="42"/>
      <c r="D821" s="42"/>
      <c r="E821" s="44"/>
      <c r="F821" s="43"/>
      <c r="G821" s="19"/>
    </row>
    <row r="822" spans="1:7">
      <c r="A822" s="41"/>
      <c r="B822" s="42"/>
      <c r="C822" s="42"/>
      <c r="D822" s="42"/>
      <c r="E822" s="44"/>
      <c r="F822" s="43"/>
      <c r="G822" s="19"/>
    </row>
    <row r="823" spans="1:7">
      <c r="A823" s="41"/>
      <c r="B823" s="42"/>
      <c r="C823" s="42"/>
      <c r="D823" s="42"/>
      <c r="E823" s="44"/>
      <c r="F823" s="43"/>
      <c r="G823" s="19"/>
    </row>
    <row r="824" spans="1:7">
      <c r="A824" s="41"/>
      <c r="B824" s="42"/>
      <c r="C824" s="42"/>
      <c r="D824" s="42"/>
      <c r="E824" s="44"/>
      <c r="F824" s="43"/>
      <c r="G824" s="19"/>
    </row>
    <row r="825" spans="1:7">
      <c r="A825" s="41"/>
      <c r="B825" s="42"/>
      <c r="C825" s="42"/>
      <c r="D825" s="42"/>
      <c r="E825" s="44"/>
      <c r="F825" s="43"/>
      <c r="G825" s="19"/>
    </row>
    <row r="826" spans="1:7">
      <c r="A826" s="41"/>
      <c r="B826" s="42"/>
      <c r="C826" s="42"/>
      <c r="D826" s="42"/>
      <c r="E826" s="44"/>
      <c r="F826" s="43"/>
      <c r="G826" s="19"/>
    </row>
    <row r="827" spans="1:7">
      <c r="A827" s="41"/>
      <c r="B827" s="42"/>
      <c r="C827" s="42"/>
      <c r="D827" s="42"/>
      <c r="E827" s="44"/>
      <c r="F827" s="43"/>
      <c r="G827" s="19"/>
    </row>
    <row r="828" spans="1:7">
      <c r="A828" s="41"/>
      <c r="B828" s="42"/>
      <c r="C828" s="42"/>
      <c r="D828" s="42"/>
      <c r="E828" s="44"/>
      <c r="F828" s="43"/>
      <c r="G828" s="19"/>
    </row>
    <row r="829" spans="1:7">
      <c r="A829" s="41"/>
      <c r="B829" s="42"/>
      <c r="C829" s="42"/>
      <c r="D829" s="42"/>
      <c r="E829" s="44"/>
      <c r="F829" s="43"/>
      <c r="G829" s="19"/>
    </row>
    <row r="830" spans="1:7">
      <c r="A830" s="41"/>
      <c r="B830" s="42"/>
      <c r="C830" s="42"/>
      <c r="D830" s="42"/>
      <c r="E830" s="44"/>
      <c r="F830" s="43"/>
      <c r="G830" s="19"/>
    </row>
    <row r="831" spans="1:7">
      <c r="A831" s="41"/>
      <c r="B831" s="42"/>
      <c r="C831" s="42"/>
      <c r="D831" s="42"/>
      <c r="E831" s="44"/>
      <c r="F831" s="43"/>
      <c r="G831" s="19"/>
    </row>
    <row r="832" spans="1:7">
      <c r="A832" s="41"/>
      <c r="B832" s="42"/>
      <c r="C832" s="42"/>
      <c r="D832" s="42"/>
      <c r="E832" s="44"/>
      <c r="F832" s="43"/>
      <c r="G832" s="19"/>
    </row>
    <row r="833" spans="1:7">
      <c r="A833" s="41"/>
      <c r="B833" s="42"/>
      <c r="C833" s="42"/>
      <c r="D833" s="42"/>
      <c r="E833" s="44"/>
      <c r="F833" s="43"/>
      <c r="G833" s="19"/>
    </row>
    <row r="834" spans="1:7">
      <c r="A834" s="41"/>
      <c r="B834" s="42"/>
      <c r="C834" s="42"/>
      <c r="D834" s="42"/>
      <c r="E834" s="44"/>
      <c r="F834" s="43"/>
      <c r="G834" s="19"/>
    </row>
    <row r="835" spans="1:7">
      <c r="A835" s="41"/>
      <c r="B835" s="42"/>
      <c r="C835" s="42"/>
      <c r="D835" s="42"/>
      <c r="E835" s="44"/>
      <c r="F835" s="43"/>
      <c r="G835" s="19"/>
    </row>
    <row r="836" spans="1:7">
      <c r="A836" s="41"/>
      <c r="B836" s="42"/>
      <c r="C836" s="42"/>
      <c r="D836" s="42"/>
      <c r="E836" s="44"/>
      <c r="F836" s="43"/>
      <c r="G836" s="19"/>
    </row>
    <row r="837" spans="1:7">
      <c r="A837" s="41"/>
      <c r="B837" s="42"/>
      <c r="C837" s="42"/>
      <c r="D837" s="42"/>
      <c r="E837" s="44"/>
      <c r="F837" s="43"/>
      <c r="G837" s="19"/>
    </row>
    <row r="838" spans="1:7">
      <c r="A838" s="41"/>
      <c r="B838" s="42"/>
      <c r="C838" s="42"/>
      <c r="D838" s="42"/>
      <c r="E838" s="44"/>
      <c r="F838" s="43"/>
      <c r="G838" s="19"/>
    </row>
    <row r="839" spans="1:7">
      <c r="A839" s="41"/>
      <c r="B839" s="42"/>
      <c r="C839" s="42"/>
      <c r="D839" s="42"/>
      <c r="E839" s="44"/>
      <c r="F839" s="43"/>
      <c r="G839" s="19"/>
    </row>
    <row r="840" spans="1:7">
      <c r="A840" s="41"/>
      <c r="B840" s="42"/>
      <c r="C840" s="42"/>
      <c r="D840" s="42"/>
      <c r="E840" s="44"/>
      <c r="F840" s="43"/>
      <c r="G840" s="19"/>
    </row>
    <row r="841" spans="1:7">
      <c r="A841" s="41"/>
      <c r="B841" s="42"/>
      <c r="C841" s="42"/>
      <c r="D841" s="42"/>
      <c r="E841" s="44"/>
      <c r="F841" s="43"/>
      <c r="G841" s="19"/>
    </row>
    <row r="842" spans="1:7">
      <c r="A842" s="41"/>
      <c r="B842" s="42"/>
      <c r="C842" s="42"/>
      <c r="D842" s="42"/>
      <c r="E842" s="44"/>
      <c r="F842" s="43"/>
      <c r="G842" s="19"/>
    </row>
    <row r="843" spans="1:7">
      <c r="A843" s="41"/>
      <c r="B843" s="42"/>
      <c r="C843" s="42"/>
      <c r="D843" s="42"/>
      <c r="E843" s="44"/>
      <c r="F843" s="43"/>
      <c r="G843" s="19"/>
    </row>
    <row r="844" spans="1:7">
      <c r="A844" s="41"/>
      <c r="B844" s="42"/>
      <c r="C844" s="42"/>
      <c r="D844" s="42"/>
      <c r="E844" s="44"/>
      <c r="F844" s="43"/>
      <c r="G844" s="19"/>
    </row>
    <row r="845" spans="1:7">
      <c r="A845" s="41"/>
      <c r="B845" s="42"/>
      <c r="C845" s="42"/>
      <c r="D845" s="42"/>
      <c r="E845" s="44"/>
      <c r="F845" s="43"/>
      <c r="G845" s="19"/>
    </row>
    <row r="846" spans="1:7">
      <c r="A846" s="41"/>
      <c r="B846" s="42"/>
      <c r="C846" s="42"/>
      <c r="D846" s="42"/>
      <c r="E846" s="44"/>
      <c r="F846" s="43"/>
      <c r="G846" s="19"/>
    </row>
    <row r="847" spans="1:7">
      <c r="A847" s="41"/>
      <c r="B847" s="42"/>
      <c r="C847" s="42"/>
      <c r="D847" s="42"/>
      <c r="E847" s="44"/>
      <c r="F847" s="43"/>
      <c r="G847" s="19"/>
    </row>
    <row r="848" spans="1:7">
      <c r="A848" s="41"/>
      <c r="B848" s="42"/>
      <c r="C848" s="42"/>
      <c r="D848" s="42"/>
      <c r="E848" s="44"/>
      <c r="F848" s="43"/>
      <c r="G848" s="19"/>
    </row>
    <row r="849" spans="1:7">
      <c r="A849" s="41"/>
      <c r="B849" s="42"/>
      <c r="C849" s="42"/>
      <c r="D849" s="42"/>
      <c r="E849" s="44"/>
      <c r="F849" s="43"/>
      <c r="G849" s="19"/>
    </row>
    <row r="850" spans="1:7">
      <c r="A850" s="41"/>
      <c r="B850" s="42"/>
      <c r="C850" s="42"/>
      <c r="D850" s="42"/>
      <c r="E850" s="44"/>
      <c r="F850" s="43"/>
      <c r="G850" s="19"/>
    </row>
    <row r="851" spans="1:7">
      <c r="A851" s="41"/>
      <c r="B851" s="42"/>
      <c r="C851" s="42"/>
      <c r="D851" s="42"/>
      <c r="E851" s="44"/>
      <c r="F851" s="43"/>
      <c r="G851" s="19"/>
    </row>
    <row r="852" spans="1:7">
      <c r="A852" s="41"/>
      <c r="B852" s="42"/>
      <c r="C852" s="42"/>
      <c r="D852" s="42"/>
      <c r="E852" s="44"/>
      <c r="F852" s="43"/>
      <c r="G852" s="19"/>
    </row>
    <row r="853" spans="1:7">
      <c r="A853" s="41"/>
      <c r="B853" s="42"/>
      <c r="C853" s="42"/>
      <c r="D853" s="42"/>
      <c r="E853" s="44"/>
      <c r="F853" s="43"/>
      <c r="G853" s="19"/>
    </row>
    <row r="854" spans="1:7">
      <c r="A854" s="41"/>
      <c r="B854" s="42"/>
      <c r="C854" s="42"/>
      <c r="D854" s="42"/>
      <c r="E854" s="44"/>
      <c r="F854" s="43"/>
      <c r="G854" s="19"/>
    </row>
    <row r="855" spans="1:7">
      <c r="A855" s="41"/>
      <c r="B855" s="42"/>
      <c r="C855" s="42"/>
      <c r="D855" s="42"/>
      <c r="E855" s="44"/>
      <c r="F855" s="43"/>
      <c r="G855" s="19"/>
    </row>
    <row r="856" spans="1:7">
      <c r="A856" s="41"/>
      <c r="B856" s="42"/>
      <c r="C856" s="42"/>
      <c r="D856" s="42"/>
      <c r="E856" s="44"/>
      <c r="F856" s="43"/>
      <c r="G856" s="19"/>
    </row>
    <row r="857" spans="1:7">
      <c r="A857" s="41"/>
      <c r="B857" s="42"/>
      <c r="C857" s="42"/>
      <c r="D857" s="42"/>
      <c r="E857" s="44"/>
      <c r="F857" s="43"/>
      <c r="G857" s="19"/>
    </row>
    <row r="858" spans="1:7">
      <c r="A858" s="41"/>
      <c r="B858" s="42"/>
      <c r="C858" s="42"/>
      <c r="D858" s="42"/>
      <c r="E858" s="44"/>
      <c r="F858" s="43"/>
      <c r="G858" s="19"/>
    </row>
    <row r="859" spans="1:7">
      <c r="A859" s="41"/>
      <c r="B859" s="42"/>
      <c r="C859" s="42"/>
      <c r="D859" s="42"/>
      <c r="E859" s="44"/>
      <c r="F859" s="43"/>
      <c r="G859" s="19"/>
    </row>
    <row r="860" spans="1:7">
      <c r="A860" s="41"/>
      <c r="B860" s="42"/>
      <c r="C860" s="42"/>
      <c r="D860" s="42"/>
      <c r="E860" s="44"/>
      <c r="F860" s="43"/>
      <c r="G860" s="19"/>
    </row>
    <row r="861" spans="1:7">
      <c r="A861" s="41"/>
      <c r="B861" s="42"/>
      <c r="C861" s="42"/>
      <c r="D861" s="42"/>
      <c r="E861" s="44"/>
      <c r="F861" s="43"/>
      <c r="G861" s="19"/>
    </row>
    <row r="862" spans="1:7">
      <c r="A862" s="41"/>
      <c r="B862" s="42"/>
      <c r="C862" s="42"/>
      <c r="D862" s="42"/>
      <c r="E862" s="44"/>
      <c r="F862" s="43"/>
      <c r="G862" s="19"/>
    </row>
    <row r="863" spans="1:7">
      <c r="A863" s="41"/>
      <c r="B863" s="42"/>
      <c r="C863" s="42"/>
      <c r="D863" s="42"/>
      <c r="E863" s="44"/>
      <c r="F863" s="43"/>
      <c r="G863" s="19"/>
    </row>
    <row r="864" spans="1:7">
      <c r="A864" s="41"/>
      <c r="B864" s="42"/>
      <c r="C864" s="42"/>
      <c r="D864" s="42"/>
      <c r="E864" s="44"/>
      <c r="F864" s="43"/>
      <c r="G864" s="19"/>
    </row>
    <row r="865" spans="1:7">
      <c r="A865" s="41"/>
      <c r="B865" s="42"/>
      <c r="C865" s="42"/>
      <c r="D865" s="42"/>
      <c r="E865" s="44"/>
      <c r="F865" s="43"/>
      <c r="G865" s="19"/>
    </row>
    <row r="866" spans="1:7">
      <c r="A866" s="41"/>
      <c r="B866" s="42"/>
      <c r="C866" s="42"/>
      <c r="D866" s="42"/>
      <c r="E866" s="44"/>
      <c r="F866" s="43"/>
      <c r="G866" s="19"/>
    </row>
    <row r="867" spans="1:7">
      <c r="A867" s="41"/>
      <c r="B867" s="42"/>
      <c r="C867" s="42"/>
      <c r="D867" s="42"/>
      <c r="E867" s="44"/>
      <c r="F867" s="43"/>
      <c r="G867" s="19"/>
    </row>
    <row r="868" spans="1:7">
      <c r="A868" s="41"/>
      <c r="B868" s="42"/>
      <c r="C868" s="42"/>
      <c r="D868" s="42"/>
      <c r="E868" s="44"/>
      <c r="F868" s="43"/>
      <c r="G868" s="19"/>
    </row>
    <row r="869" spans="1:7">
      <c r="A869" s="41"/>
      <c r="B869" s="42"/>
      <c r="C869" s="42"/>
      <c r="D869" s="42"/>
      <c r="E869" s="44"/>
      <c r="F869" s="43"/>
      <c r="G869" s="19"/>
    </row>
    <row r="870" spans="1:7">
      <c r="A870" s="41"/>
      <c r="B870" s="42"/>
      <c r="C870" s="42"/>
      <c r="D870" s="42"/>
      <c r="E870" s="44"/>
      <c r="F870" s="43"/>
      <c r="G870" s="19"/>
    </row>
    <row r="871" spans="1:7">
      <c r="A871" s="41"/>
      <c r="B871" s="42"/>
      <c r="C871" s="42"/>
      <c r="D871" s="42"/>
      <c r="E871" s="44"/>
      <c r="F871" s="43"/>
      <c r="G871" s="19"/>
    </row>
    <row r="872" spans="1:7">
      <c r="A872" s="41"/>
      <c r="B872" s="42"/>
      <c r="C872" s="42"/>
      <c r="D872" s="42"/>
      <c r="E872" s="44"/>
      <c r="F872" s="43"/>
      <c r="G872" s="19"/>
    </row>
    <row r="873" spans="1:7">
      <c r="A873" s="41"/>
      <c r="B873" s="42"/>
      <c r="C873" s="42"/>
      <c r="D873" s="42"/>
      <c r="E873" s="44"/>
      <c r="F873" s="43"/>
      <c r="G873" s="19"/>
    </row>
    <row r="874" spans="1:7">
      <c r="A874" s="41"/>
      <c r="B874" s="42"/>
      <c r="C874" s="42"/>
      <c r="D874" s="42"/>
      <c r="E874" s="44"/>
      <c r="F874" s="43"/>
      <c r="G874" s="19"/>
    </row>
    <row r="875" spans="1:7">
      <c r="A875" s="41"/>
      <c r="B875" s="42"/>
      <c r="C875" s="42"/>
      <c r="D875" s="42"/>
      <c r="E875" s="44"/>
      <c r="F875" s="43"/>
      <c r="G875" s="19"/>
    </row>
    <row r="876" spans="1:7">
      <c r="A876" s="41"/>
      <c r="B876" s="42"/>
      <c r="C876" s="42"/>
      <c r="D876" s="42"/>
      <c r="E876" s="44"/>
      <c r="F876" s="43"/>
      <c r="G876" s="19"/>
    </row>
    <row r="877" spans="1:7">
      <c r="A877" s="41"/>
      <c r="B877" s="42"/>
      <c r="C877" s="42"/>
      <c r="D877" s="42"/>
      <c r="E877" s="44"/>
      <c r="F877" s="43"/>
      <c r="G877" s="19"/>
    </row>
    <row r="878" spans="1:7">
      <c r="A878" s="41"/>
      <c r="B878" s="42"/>
      <c r="C878" s="42"/>
      <c r="D878" s="42"/>
      <c r="E878" s="44"/>
      <c r="F878" s="43"/>
      <c r="G878" s="19"/>
    </row>
    <row r="879" spans="1:7">
      <c r="A879" s="41"/>
      <c r="B879" s="42"/>
      <c r="C879" s="42"/>
      <c r="D879" s="42"/>
      <c r="E879" s="44"/>
      <c r="F879" s="43"/>
      <c r="G879" s="19"/>
    </row>
    <row r="880" spans="1:7">
      <c r="A880" s="41"/>
      <c r="B880" s="42"/>
      <c r="C880" s="42"/>
      <c r="D880" s="42"/>
      <c r="E880" s="44"/>
      <c r="F880" s="43"/>
      <c r="G880" s="19"/>
    </row>
    <row r="881" spans="1:7">
      <c r="A881" s="41"/>
      <c r="B881" s="42"/>
      <c r="C881" s="42"/>
      <c r="D881" s="42"/>
      <c r="E881" s="44"/>
      <c r="F881" s="43"/>
      <c r="G881" s="19"/>
    </row>
    <row r="882" spans="1:7">
      <c r="A882" s="41"/>
      <c r="B882" s="42"/>
      <c r="C882" s="42"/>
      <c r="D882" s="42"/>
      <c r="E882" s="44"/>
      <c r="F882" s="43"/>
      <c r="G882" s="19"/>
    </row>
    <row r="883" spans="1:7">
      <c r="A883" s="41"/>
      <c r="B883" s="42"/>
      <c r="C883" s="42"/>
      <c r="D883" s="42"/>
      <c r="E883" s="44"/>
      <c r="F883" s="43"/>
      <c r="G883" s="19"/>
    </row>
    <row r="884" spans="1:7">
      <c r="A884" s="41"/>
      <c r="B884" s="42"/>
      <c r="C884" s="42"/>
      <c r="D884" s="42"/>
      <c r="E884" s="44"/>
      <c r="F884" s="43"/>
      <c r="G884" s="19"/>
    </row>
    <row r="885" spans="1:7">
      <c r="A885" s="41"/>
      <c r="B885" s="42"/>
      <c r="C885" s="42"/>
      <c r="D885" s="42"/>
      <c r="E885" s="44"/>
      <c r="F885" s="43"/>
      <c r="G885" s="19"/>
    </row>
    <row r="886" spans="1:7">
      <c r="A886" s="41"/>
      <c r="B886" s="42"/>
      <c r="C886" s="42"/>
      <c r="D886" s="42"/>
      <c r="E886" s="44"/>
      <c r="F886" s="43"/>
      <c r="G886" s="19"/>
    </row>
    <row r="887" spans="1:7">
      <c r="A887" s="41"/>
      <c r="B887" s="42"/>
      <c r="C887" s="42"/>
      <c r="D887" s="42"/>
      <c r="E887" s="44"/>
      <c r="F887" s="43"/>
      <c r="G887" s="19"/>
    </row>
    <row r="888" spans="1:7">
      <c r="A888" s="41"/>
      <c r="B888" s="42"/>
      <c r="C888" s="42"/>
      <c r="D888" s="42"/>
      <c r="E888" s="44"/>
      <c r="F888" s="43"/>
      <c r="G888" s="19"/>
    </row>
    <row r="889" spans="1:7">
      <c r="A889" s="41"/>
      <c r="B889" s="42"/>
      <c r="C889" s="42"/>
      <c r="D889" s="42"/>
      <c r="E889" s="44"/>
      <c r="F889" s="43"/>
      <c r="G889" s="19"/>
    </row>
    <row r="890" spans="1:7">
      <c r="A890" s="41"/>
      <c r="B890" s="42"/>
      <c r="C890" s="42"/>
      <c r="D890" s="42"/>
      <c r="E890" s="44"/>
      <c r="F890" s="43"/>
      <c r="G890" s="19"/>
    </row>
    <row r="891" spans="1:7">
      <c r="A891" s="41"/>
      <c r="B891" s="42"/>
      <c r="C891" s="42"/>
      <c r="D891" s="42"/>
      <c r="E891" s="44"/>
      <c r="F891" s="43"/>
      <c r="G891" s="19"/>
    </row>
    <row r="892" spans="1:7">
      <c r="A892" s="41"/>
      <c r="B892" s="42"/>
      <c r="C892" s="42"/>
      <c r="D892" s="42"/>
      <c r="E892" s="44"/>
      <c r="F892" s="43"/>
      <c r="G892" s="19"/>
    </row>
    <row r="893" spans="1:7">
      <c r="A893" s="41"/>
      <c r="B893" s="42"/>
      <c r="C893" s="42"/>
      <c r="D893" s="42"/>
      <c r="E893" s="44"/>
      <c r="F893" s="43"/>
      <c r="G893" s="19"/>
    </row>
    <row r="894" spans="1:7">
      <c r="A894" s="41"/>
      <c r="B894" s="42"/>
      <c r="C894" s="42"/>
      <c r="D894" s="42"/>
      <c r="E894" s="44"/>
      <c r="F894" s="43"/>
      <c r="G894" s="19"/>
    </row>
    <row r="895" spans="1:7">
      <c r="A895" s="41"/>
      <c r="B895" s="42"/>
      <c r="C895" s="42"/>
      <c r="D895" s="42"/>
      <c r="E895" s="44"/>
      <c r="F895" s="43"/>
      <c r="G895" s="19"/>
    </row>
    <row r="896" spans="1:7">
      <c r="A896" s="41"/>
      <c r="B896" s="42"/>
      <c r="C896" s="42"/>
      <c r="D896" s="42"/>
      <c r="E896" s="44"/>
      <c r="F896" s="43"/>
      <c r="G896" s="19"/>
    </row>
    <row r="897" spans="1:7">
      <c r="A897" s="41"/>
      <c r="B897" s="42"/>
      <c r="C897" s="42"/>
      <c r="D897" s="42"/>
      <c r="E897" s="44"/>
      <c r="F897" s="43"/>
      <c r="G897" s="19"/>
    </row>
    <row r="898" spans="1:7">
      <c r="A898" s="41"/>
      <c r="B898" s="42"/>
      <c r="C898" s="42"/>
      <c r="D898" s="42"/>
      <c r="E898" s="44"/>
      <c r="F898" s="43"/>
      <c r="G898" s="19"/>
    </row>
    <row r="899" spans="1:7">
      <c r="A899" s="41"/>
      <c r="B899" s="42"/>
      <c r="C899" s="42"/>
      <c r="D899" s="42"/>
      <c r="E899" s="44"/>
      <c r="F899" s="43"/>
      <c r="G899" s="19"/>
    </row>
    <row r="900" spans="1:7">
      <c r="A900" s="41"/>
      <c r="B900" s="42"/>
      <c r="C900" s="42"/>
      <c r="D900" s="42"/>
      <c r="E900" s="44"/>
      <c r="F900" s="43"/>
      <c r="G900" s="19"/>
    </row>
    <row r="901" spans="1:7">
      <c r="A901" s="41"/>
      <c r="B901" s="42"/>
      <c r="C901" s="42"/>
      <c r="D901" s="42"/>
      <c r="E901" s="44"/>
      <c r="F901" s="43"/>
      <c r="G901" s="19"/>
    </row>
    <row r="902" spans="1:7">
      <c r="A902" s="41"/>
      <c r="B902" s="42"/>
      <c r="C902" s="42"/>
      <c r="D902" s="42"/>
      <c r="E902" s="44"/>
      <c r="F902" s="43"/>
      <c r="G902" s="19"/>
    </row>
    <row r="903" spans="1:7">
      <c r="A903" s="41"/>
      <c r="B903" s="42"/>
      <c r="C903" s="42"/>
      <c r="D903" s="42"/>
      <c r="E903" s="44"/>
      <c r="F903" s="43"/>
      <c r="G903" s="19"/>
    </row>
    <row r="904" spans="1:7">
      <c r="A904" s="41"/>
      <c r="B904" s="42"/>
      <c r="C904" s="42"/>
      <c r="D904" s="42"/>
      <c r="E904" s="44"/>
      <c r="F904" s="43"/>
      <c r="G904" s="19"/>
    </row>
    <row r="905" spans="1:7">
      <c r="A905" s="41"/>
      <c r="B905" s="42"/>
      <c r="C905" s="42"/>
      <c r="D905" s="42"/>
      <c r="E905" s="44"/>
      <c r="F905" s="43"/>
      <c r="G905" s="19"/>
    </row>
    <row r="906" spans="1:7">
      <c r="A906" s="41"/>
      <c r="B906" s="42"/>
      <c r="C906" s="42"/>
      <c r="D906" s="42"/>
      <c r="E906" s="44"/>
      <c r="F906" s="43"/>
      <c r="G906" s="19"/>
    </row>
    <row r="907" spans="1:7">
      <c r="A907" s="41"/>
      <c r="B907" s="42"/>
      <c r="C907" s="42"/>
      <c r="D907" s="42"/>
      <c r="E907" s="44"/>
      <c r="F907" s="43"/>
      <c r="G907" s="19"/>
    </row>
    <row r="908" spans="1:7">
      <c r="A908" s="41"/>
      <c r="B908" s="42"/>
      <c r="C908" s="42"/>
      <c r="D908" s="42"/>
      <c r="E908" s="44"/>
      <c r="F908" s="43"/>
      <c r="G908" s="19"/>
    </row>
    <row r="909" spans="1:7">
      <c r="A909" s="41"/>
      <c r="B909" s="42"/>
      <c r="C909" s="42"/>
      <c r="D909" s="42"/>
      <c r="E909" s="44"/>
      <c r="F909" s="43"/>
      <c r="G909" s="19"/>
    </row>
    <row r="910" spans="1:7">
      <c r="A910" s="41"/>
      <c r="B910" s="42"/>
      <c r="C910" s="42"/>
      <c r="D910" s="42"/>
      <c r="E910" s="44"/>
      <c r="F910" s="43"/>
      <c r="G910" s="19"/>
    </row>
    <row r="911" spans="1:7">
      <c r="A911" s="41"/>
      <c r="B911" s="42"/>
      <c r="C911" s="42"/>
      <c r="D911" s="42"/>
      <c r="E911" s="44"/>
      <c r="F911" s="43"/>
      <c r="G911" s="19"/>
    </row>
    <row r="912" spans="1:7">
      <c r="A912" s="41"/>
      <c r="B912" s="42"/>
      <c r="C912" s="42"/>
      <c r="D912" s="42"/>
      <c r="E912" s="44"/>
      <c r="F912" s="43"/>
      <c r="G912" s="19"/>
    </row>
    <row r="913" spans="1:7">
      <c r="A913" s="41"/>
      <c r="B913" s="42"/>
      <c r="C913" s="42"/>
      <c r="D913" s="42"/>
      <c r="E913" s="44"/>
      <c r="F913" s="43"/>
      <c r="G913" s="19"/>
    </row>
    <row r="914" spans="1:7">
      <c r="A914" s="41"/>
      <c r="B914" s="42"/>
      <c r="C914" s="42"/>
      <c r="D914" s="42"/>
      <c r="E914" s="44"/>
      <c r="F914" s="43"/>
      <c r="G914" s="19"/>
    </row>
    <row r="915" spans="1:7">
      <c r="A915" s="41"/>
      <c r="B915" s="42"/>
      <c r="C915" s="42"/>
      <c r="D915" s="42"/>
      <c r="E915" s="44"/>
      <c r="F915" s="43"/>
      <c r="G915" s="19"/>
    </row>
    <row r="916" spans="1:7">
      <c r="A916" s="41"/>
      <c r="B916" s="42"/>
      <c r="C916" s="42"/>
      <c r="D916" s="42"/>
      <c r="E916" s="44"/>
      <c r="F916" s="43"/>
      <c r="G916" s="19"/>
    </row>
    <row r="917" spans="1:7">
      <c r="A917" s="41"/>
      <c r="B917" s="42"/>
      <c r="C917" s="42"/>
      <c r="D917" s="42"/>
      <c r="E917" s="44"/>
      <c r="F917" s="43"/>
      <c r="G917" s="19"/>
    </row>
    <row r="918" spans="1:7">
      <c r="A918" s="41"/>
      <c r="B918" s="42"/>
      <c r="C918" s="42"/>
      <c r="D918" s="42"/>
      <c r="E918" s="44"/>
      <c r="F918" s="43"/>
      <c r="G918" s="19"/>
    </row>
    <row r="919" spans="1:7">
      <c r="A919" s="41"/>
      <c r="B919" s="42"/>
      <c r="C919" s="42"/>
      <c r="D919" s="42"/>
      <c r="E919" s="44"/>
      <c r="F919" s="43"/>
      <c r="G919" s="19"/>
    </row>
    <row r="920" spans="1:7">
      <c r="A920" s="41"/>
      <c r="B920" s="42"/>
      <c r="C920" s="42"/>
      <c r="D920" s="42"/>
      <c r="E920" s="44"/>
      <c r="F920" s="43"/>
      <c r="G920" s="19"/>
    </row>
    <row r="921" spans="1:7">
      <c r="A921" s="41"/>
      <c r="B921" s="42"/>
      <c r="C921" s="42"/>
      <c r="D921" s="42"/>
      <c r="E921" s="44"/>
      <c r="F921" s="43"/>
      <c r="G921" s="19"/>
    </row>
    <row r="922" spans="1:7">
      <c r="A922" s="41"/>
      <c r="B922" s="42"/>
      <c r="C922" s="42"/>
      <c r="D922" s="42"/>
      <c r="E922" s="44"/>
      <c r="F922" s="43"/>
      <c r="G922" s="19"/>
    </row>
    <row r="923" spans="1:7">
      <c r="A923" s="41"/>
      <c r="B923" s="42"/>
      <c r="C923" s="42"/>
      <c r="D923" s="42"/>
      <c r="E923" s="44"/>
      <c r="F923" s="43"/>
      <c r="G923" s="19"/>
    </row>
    <row r="924" spans="1:7">
      <c r="A924" s="41"/>
      <c r="B924" s="42"/>
      <c r="C924" s="42"/>
      <c r="D924" s="42"/>
      <c r="E924" s="44"/>
      <c r="F924" s="43"/>
      <c r="G924" s="19"/>
    </row>
    <row r="925" spans="1:7">
      <c r="A925" s="41"/>
      <c r="B925" s="42"/>
      <c r="C925" s="42"/>
      <c r="D925" s="42"/>
      <c r="E925" s="44"/>
      <c r="F925" s="43"/>
      <c r="G925" s="19"/>
    </row>
    <row r="926" spans="1:7">
      <c r="A926" s="41"/>
      <c r="B926" s="42"/>
      <c r="C926" s="42"/>
      <c r="D926" s="42"/>
      <c r="E926" s="44"/>
      <c r="F926" s="43"/>
      <c r="G926" s="19"/>
    </row>
    <row r="927" spans="1:7">
      <c r="A927" s="41"/>
      <c r="B927" s="42"/>
      <c r="C927" s="42"/>
      <c r="D927" s="42"/>
      <c r="E927" s="44"/>
      <c r="F927" s="43"/>
      <c r="G927" s="19"/>
    </row>
    <row r="928" spans="1:7">
      <c r="A928" s="41"/>
      <c r="B928" s="42"/>
      <c r="C928" s="42"/>
      <c r="D928" s="42"/>
      <c r="E928" s="44"/>
      <c r="F928" s="43"/>
      <c r="G928" s="19"/>
    </row>
    <row r="929" spans="1:7">
      <c r="A929" s="41"/>
      <c r="B929" s="42"/>
      <c r="C929" s="42"/>
      <c r="D929" s="42"/>
      <c r="E929" s="44"/>
      <c r="F929" s="43"/>
      <c r="G929" s="19"/>
    </row>
    <row r="930" spans="1:7">
      <c r="A930" s="41"/>
      <c r="B930" s="42"/>
      <c r="C930" s="42"/>
      <c r="D930" s="42"/>
      <c r="E930" s="44"/>
      <c r="F930" s="43"/>
      <c r="G930" s="19"/>
    </row>
    <row r="931" spans="1:7">
      <c r="A931" s="41"/>
      <c r="B931" s="42"/>
      <c r="C931" s="42"/>
      <c r="D931" s="42"/>
      <c r="E931" s="44"/>
      <c r="F931" s="43"/>
      <c r="G931" s="19"/>
    </row>
    <row r="932" spans="1:7">
      <c r="A932" s="41"/>
      <c r="B932" s="42"/>
      <c r="C932" s="42"/>
      <c r="D932" s="42"/>
      <c r="E932" s="44"/>
      <c r="F932" s="43"/>
      <c r="G932" s="19"/>
    </row>
    <row r="933" spans="1:7">
      <c r="A933" s="41"/>
      <c r="B933" s="42"/>
      <c r="C933" s="42"/>
      <c r="D933" s="42"/>
      <c r="E933" s="44"/>
      <c r="F933" s="43"/>
      <c r="G933" s="19"/>
    </row>
    <row r="934" spans="1:7">
      <c r="A934" s="41"/>
      <c r="B934" s="42"/>
      <c r="C934" s="42"/>
      <c r="D934" s="42"/>
      <c r="E934" s="44"/>
      <c r="F934" s="43"/>
      <c r="G934" s="19"/>
    </row>
    <row r="935" spans="1:7">
      <c r="A935" s="41"/>
      <c r="B935" s="42"/>
      <c r="C935" s="42"/>
      <c r="D935" s="42"/>
      <c r="E935" s="44"/>
      <c r="F935" s="43"/>
      <c r="G935" s="19"/>
    </row>
    <row r="936" spans="1:7">
      <c r="A936" s="41"/>
      <c r="B936" s="42"/>
      <c r="C936" s="42"/>
      <c r="D936" s="42"/>
      <c r="E936" s="44"/>
      <c r="F936" s="43"/>
      <c r="G936" s="19"/>
    </row>
    <row r="937" spans="1:7">
      <c r="A937" s="41"/>
      <c r="B937" s="42"/>
      <c r="C937" s="42"/>
      <c r="D937" s="42"/>
      <c r="E937" s="44"/>
      <c r="F937" s="43"/>
      <c r="G937" s="19"/>
    </row>
    <row r="938" spans="1:7">
      <c r="A938" s="41"/>
      <c r="B938" s="42"/>
      <c r="C938" s="42"/>
      <c r="D938" s="42"/>
      <c r="E938" s="44"/>
      <c r="F938" s="43"/>
      <c r="G938" s="19"/>
    </row>
    <row r="939" spans="1:7">
      <c r="A939" s="41"/>
      <c r="B939" s="42"/>
      <c r="C939" s="42"/>
      <c r="D939" s="42"/>
      <c r="E939" s="44"/>
      <c r="F939" s="43"/>
      <c r="G939" s="19"/>
    </row>
    <row r="940" spans="1:7">
      <c r="A940" s="41"/>
      <c r="B940" s="42"/>
      <c r="C940" s="42"/>
      <c r="D940" s="42"/>
      <c r="E940" s="44"/>
      <c r="F940" s="43"/>
      <c r="G940" s="19"/>
    </row>
    <row r="941" spans="1:7">
      <c r="A941" s="41"/>
      <c r="B941" s="42"/>
      <c r="C941" s="42"/>
      <c r="D941" s="42"/>
      <c r="E941" s="44"/>
      <c r="F941" s="43"/>
      <c r="G941" s="19"/>
    </row>
    <row r="942" spans="1:7">
      <c r="A942" s="41"/>
      <c r="B942" s="42"/>
      <c r="C942" s="42"/>
      <c r="D942" s="42"/>
      <c r="E942" s="44"/>
      <c r="F942" s="43"/>
      <c r="G942" s="19"/>
    </row>
    <row r="943" spans="1:7">
      <c r="A943" s="41"/>
      <c r="B943" s="42"/>
      <c r="C943" s="42"/>
      <c r="D943" s="42"/>
      <c r="E943" s="44"/>
      <c r="F943" s="43"/>
      <c r="G943" s="19"/>
    </row>
    <row r="944" spans="1:7">
      <c r="A944" s="41"/>
      <c r="B944" s="42"/>
      <c r="C944" s="42"/>
      <c r="D944" s="42"/>
      <c r="E944" s="44"/>
      <c r="F944" s="43"/>
      <c r="G944" s="19"/>
    </row>
    <row r="945" spans="1:7">
      <c r="A945" s="41"/>
      <c r="B945" s="42"/>
      <c r="C945" s="42"/>
      <c r="D945" s="42"/>
      <c r="E945" s="44"/>
      <c r="F945" s="43"/>
      <c r="G945" s="19"/>
    </row>
    <row r="946" spans="1:7">
      <c r="A946" s="41"/>
      <c r="B946" s="42"/>
      <c r="C946" s="42"/>
      <c r="D946" s="42"/>
      <c r="E946" s="44"/>
      <c r="F946" s="43"/>
      <c r="G946" s="19"/>
    </row>
    <row r="947" spans="1:7">
      <c r="A947" s="41"/>
      <c r="B947" s="42"/>
      <c r="C947" s="42"/>
      <c r="D947" s="42"/>
      <c r="E947" s="44"/>
      <c r="F947" s="43"/>
      <c r="G947" s="19"/>
    </row>
    <row r="948" spans="1:7">
      <c r="A948" s="41"/>
      <c r="B948" s="42"/>
      <c r="C948" s="42"/>
      <c r="D948" s="42"/>
      <c r="E948" s="44"/>
      <c r="F948" s="43"/>
      <c r="G948" s="19"/>
    </row>
    <row r="949" spans="1:7">
      <c r="A949" s="41"/>
      <c r="B949" s="42"/>
      <c r="C949" s="42"/>
      <c r="D949" s="42"/>
      <c r="E949" s="44"/>
      <c r="F949" s="43"/>
      <c r="G949" s="19"/>
    </row>
    <row r="950" spans="1:7">
      <c r="A950" s="41"/>
      <c r="B950" s="42"/>
      <c r="C950" s="42"/>
      <c r="D950" s="42"/>
      <c r="E950" s="44"/>
      <c r="F950" s="43"/>
      <c r="G950" s="19"/>
    </row>
    <row r="951" spans="1:7">
      <c r="A951" s="41"/>
      <c r="B951" s="42"/>
      <c r="C951" s="42"/>
      <c r="D951" s="42"/>
      <c r="E951" s="44"/>
      <c r="F951" s="43"/>
      <c r="G951" s="19"/>
    </row>
    <row r="952" spans="1:7">
      <c r="A952" s="41"/>
      <c r="B952" s="42"/>
      <c r="C952" s="42"/>
      <c r="D952" s="42"/>
      <c r="E952" s="44"/>
      <c r="F952" s="43"/>
      <c r="G952" s="19"/>
    </row>
    <row r="953" spans="1:7">
      <c r="A953" s="41"/>
      <c r="B953" s="42"/>
      <c r="C953" s="42"/>
      <c r="D953" s="42"/>
      <c r="E953" s="44"/>
      <c r="F953" s="43"/>
      <c r="G953" s="19"/>
    </row>
    <row r="954" spans="1:7">
      <c r="A954" s="41"/>
      <c r="B954" s="42"/>
      <c r="C954" s="42"/>
      <c r="D954" s="42"/>
      <c r="E954" s="44"/>
      <c r="F954" s="43"/>
      <c r="G954" s="19"/>
    </row>
    <row r="955" spans="1:7">
      <c r="A955" s="41"/>
      <c r="B955" s="42"/>
      <c r="C955" s="42"/>
      <c r="D955" s="42"/>
      <c r="E955" s="44"/>
      <c r="F955" s="43"/>
      <c r="G955" s="19"/>
    </row>
    <row r="956" spans="1:7">
      <c r="A956" s="41"/>
      <c r="B956" s="42"/>
      <c r="C956" s="42"/>
      <c r="D956" s="42"/>
      <c r="E956" s="44"/>
      <c r="F956" s="43"/>
      <c r="G956" s="19"/>
    </row>
    <row r="957" spans="1:7">
      <c r="A957" s="41"/>
      <c r="B957" s="42"/>
      <c r="C957" s="42"/>
      <c r="D957" s="42"/>
      <c r="E957" s="44"/>
      <c r="F957" s="43"/>
      <c r="G957" s="19"/>
    </row>
    <row r="958" spans="1:7">
      <c r="A958" s="41"/>
      <c r="B958" s="42"/>
      <c r="C958" s="42"/>
      <c r="D958" s="42"/>
      <c r="E958" s="44"/>
      <c r="F958" s="43"/>
      <c r="G958" s="19"/>
    </row>
    <row r="959" spans="1:7">
      <c r="A959" s="41"/>
      <c r="B959" s="42"/>
      <c r="C959" s="42"/>
      <c r="D959" s="42"/>
      <c r="E959" s="44"/>
      <c r="F959" s="43"/>
      <c r="G959" s="19"/>
    </row>
    <row r="960" spans="1:7">
      <c r="A960" s="41"/>
      <c r="B960" s="42"/>
      <c r="C960" s="42"/>
      <c r="D960" s="42"/>
      <c r="E960" s="44"/>
      <c r="F960" s="43"/>
      <c r="G960" s="19"/>
    </row>
    <row r="961" spans="1:7">
      <c r="A961" s="41"/>
      <c r="B961" s="42"/>
      <c r="C961" s="42"/>
      <c r="D961" s="42"/>
      <c r="E961" s="44"/>
      <c r="F961" s="43"/>
      <c r="G961" s="19"/>
    </row>
    <row r="962" spans="1:7">
      <c r="A962" s="41"/>
      <c r="B962" s="42"/>
      <c r="C962" s="42"/>
      <c r="D962" s="42"/>
      <c r="E962" s="44"/>
      <c r="F962" s="43"/>
      <c r="G962" s="19"/>
    </row>
    <row r="963" spans="1:7">
      <c r="A963" s="41"/>
      <c r="B963" s="42"/>
      <c r="C963" s="42"/>
      <c r="D963" s="42"/>
      <c r="E963" s="44"/>
      <c r="F963" s="43"/>
      <c r="G963" s="19"/>
    </row>
    <row r="964" spans="1:7">
      <c r="A964" s="41"/>
      <c r="B964" s="42"/>
      <c r="C964" s="42"/>
      <c r="D964" s="42"/>
      <c r="E964" s="44"/>
      <c r="F964" s="43"/>
      <c r="G964" s="19"/>
    </row>
    <row r="965" spans="1:7">
      <c r="A965" s="41"/>
      <c r="B965" s="42"/>
      <c r="C965" s="42"/>
      <c r="D965" s="42"/>
      <c r="E965" s="44"/>
      <c r="F965" s="43"/>
      <c r="G965" s="19"/>
    </row>
    <row r="966" spans="1:7">
      <c r="A966" s="41"/>
      <c r="B966" s="42"/>
      <c r="C966" s="42"/>
      <c r="D966" s="42"/>
      <c r="E966" s="44"/>
      <c r="F966" s="43"/>
      <c r="G966" s="19"/>
    </row>
    <row r="967" spans="1:7">
      <c r="A967" s="41"/>
      <c r="B967" s="42"/>
      <c r="C967" s="42"/>
      <c r="D967" s="42"/>
      <c r="E967" s="44"/>
      <c r="F967" s="43"/>
      <c r="G967" s="19"/>
    </row>
    <row r="968" spans="1:7">
      <c r="A968" s="41"/>
      <c r="B968" s="42"/>
      <c r="C968" s="42"/>
      <c r="D968" s="42"/>
      <c r="E968" s="44"/>
      <c r="F968" s="43"/>
      <c r="G968" s="19"/>
    </row>
    <row r="969" spans="1:7">
      <c r="A969" s="41"/>
      <c r="B969" s="42"/>
      <c r="C969" s="42"/>
      <c r="D969" s="42"/>
      <c r="E969" s="44"/>
      <c r="F969" s="43"/>
      <c r="G969" s="19"/>
    </row>
    <row r="970" spans="1:7">
      <c r="A970" s="41"/>
      <c r="B970" s="42"/>
      <c r="C970" s="42"/>
      <c r="D970" s="42"/>
      <c r="E970" s="44"/>
      <c r="F970" s="43"/>
      <c r="G970" s="19"/>
    </row>
    <row r="971" spans="1:7">
      <c r="A971" s="41"/>
      <c r="B971" s="42"/>
      <c r="C971" s="42"/>
      <c r="D971" s="42"/>
      <c r="E971" s="44"/>
      <c r="F971" s="43"/>
      <c r="G971" s="19"/>
    </row>
    <row r="972" spans="1:7">
      <c r="A972" s="41"/>
      <c r="B972" s="42"/>
      <c r="C972" s="42"/>
      <c r="D972" s="42"/>
      <c r="E972" s="44"/>
      <c r="F972" s="43"/>
      <c r="G972" s="19"/>
    </row>
    <row r="973" spans="1:7">
      <c r="A973" s="41"/>
      <c r="B973" s="42"/>
      <c r="C973" s="42"/>
      <c r="D973" s="42"/>
      <c r="E973" s="44"/>
      <c r="F973" s="43"/>
      <c r="G973" s="19"/>
    </row>
    <row r="974" spans="1:7">
      <c r="A974" s="41"/>
      <c r="B974" s="42"/>
      <c r="C974" s="42"/>
      <c r="D974" s="42"/>
      <c r="E974" s="44"/>
      <c r="F974" s="43"/>
      <c r="G974" s="19"/>
    </row>
    <row r="975" spans="1:7">
      <c r="A975" s="41"/>
      <c r="B975" s="42"/>
      <c r="C975" s="42"/>
      <c r="D975" s="42"/>
      <c r="E975" s="44"/>
      <c r="F975" s="43"/>
      <c r="G975" s="19"/>
    </row>
    <row r="976" spans="1:7">
      <c r="A976" s="41"/>
      <c r="B976" s="42"/>
      <c r="C976" s="42"/>
      <c r="D976" s="42"/>
      <c r="E976" s="44"/>
      <c r="F976" s="43"/>
      <c r="G976" s="19"/>
    </row>
    <row r="977" spans="1:7">
      <c r="A977" s="41"/>
      <c r="B977" s="42"/>
      <c r="C977" s="42"/>
      <c r="D977" s="42"/>
      <c r="E977" s="44"/>
      <c r="F977" s="43"/>
      <c r="G977" s="19"/>
    </row>
    <row r="978" spans="1:7">
      <c r="A978" s="41"/>
      <c r="B978" s="42"/>
      <c r="C978" s="42"/>
      <c r="D978" s="42"/>
      <c r="E978" s="44"/>
      <c r="F978" s="43"/>
      <c r="G978" s="19"/>
    </row>
    <row r="979" spans="1:7">
      <c r="A979" s="41"/>
      <c r="B979" s="42"/>
      <c r="C979" s="42"/>
      <c r="D979" s="42"/>
      <c r="E979" s="44"/>
      <c r="F979" s="43"/>
      <c r="G979" s="19"/>
    </row>
    <row r="980" spans="1:7">
      <c r="A980" s="41"/>
      <c r="B980" s="42"/>
      <c r="C980" s="42"/>
      <c r="D980" s="42"/>
      <c r="E980" s="44"/>
      <c r="F980" s="43"/>
      <c r="G980" s="19"/>
    </row>
    <row r="981" spans="1:7">
      <c r="A981" s="41"/>
      <c r="B981" s="42"/>
      <c r="C981" s="42"/>
      <c r="D981" s="42"/>
      <c r="E981" s="44"/>
      <c r="F981" s="43"/>
      <c r="G981" s="19"/>
    </row>
    <row r="982" spans="1:7">
      <c r="A982" s="41"/>
      <c r="B982" s="42"/>
      <c r="C982" s="42"/>
      <c r="D982" s="42"/>
      <c r="E982" s="44"/>
      <c r="F982" s="43"/>
      <c r="G982" s="19"/>
    </row>
    <row r="983" spans="1:7">
      <c r="A983" s="41"/>
      <c r="B983" s="42"/>
      <c r="C983" s="42"/>
      <c r="D983" s="42"/>
      <c r="E983" s="44"/>
      <c r="F983" s="43"/>
      <c r="G983" s="19"/>
    </row>
    <row r="984" spans="1:7">
      <c r="A984" s="41"/>
      <c r="B984" s="42"/>
      <c r="C984" s="42"/>
      <c r="D984" s="42"/>
      <c r="E984" s="44"/>
      <c r="F984" s="43"/>
      <c r="G984" s="19"/>
    </row>
    <row r="985" spans="1:7">
      <c r="A985" s="41"/>
      <c r="B985" s="42"/>
      <c r="C985" s="42"/>
      <c r="D985" s="42"/>
      <c r="E985" s="44"/>
      <c r="F985" s="43"/>
      <c r="G985" s="19"/>
    </row>
    <row r="986" spans="1:7">
      <c r="A986" s="41"/>
      <c r="B986" s="42"/>
      <c r="C986" s="42"/>
      <c r="D986" s="42"/>
      <c r="E986" s="44"/>
      <c r="F986" s="43"/>
      <c r="G986" s="19"/>
    </row>
    <row r="987" spans="1:7">
      <c r="A987" s="41"/>
      <c r="B987" s="42"/>
      <c r="C987" s="42"/>
      <c r="D987" s="42"/>
      <c r="E987" s="44"/>
      <c r="F987" s="43"/>
      <c r="G987" s="19"/>
    </row>
    <row r="988" spans="1:7">
      <c r="A988" s="41"/>
      <c r="B988" s="42"/>
      <c r="C988" s="42"/>
      <c r="D988" s="42"/>
      <c r="E988" s="44"/>
      <c r="F988" s="43"/>
      <c r="G988" s="19"/>
    </row>
    <row r="989" spans="1:7">
      <c r="A989" s="41"/>
      <c r="B989" s="42"/>
      <c r="C989" s="42"/>
      <c r="D989" s="42"/>
      <c r="E989" s="44"/>
      <c r="F989" s="43"/>
      <c r="G989" s="19"/>
    </row>
    <row r="990" spans="1:7">
      <c r="A990" s="41"/>
      <c r="B990" s="42"/>
      <c r="C990" s="42"/>
      <c r="D990" s="42"/>
      <c r="E990" s="44"/>
      <c r="F990" s="43"/>
      <c r="G990" s="19"/>
    </row>
    <row r="991" spans="1:7">
      <c r="A991" s="41"/>
      <c r="B991" s="42"/>
      <c r="C991" s="42"/>
      <c r="D991" s="42"/>
      <c r="E991" s="44"/>
      <c r="F991" s="43"/>
      <c r="G991" s="19"/>
    </row>
    <row r="992" spans="1:7">
      <c r="A992" s="41"/>
      <c r="B992" s="42"/>
      <c r="C992" s="42"/>
      <c r="D992" s="42"/>
      <c r="E992" s="44"/>
      <c r="F992" s="43"/>
      <c r="G992" s="19"/>
    </row>
    <row r="993" spans="1:7">
      <c r="A993" s="41"/>
      <c r="B993" s="42"/>
      <c r="C993" s="42"/>
      <c r="D993" s="42"/>
      <c r="E993" s="44"/>
      <c r="F993" s="43"/>
      <c r="G993" s="19"/>
    </row>
    <row r="994" spans="1:7">
      <c r="A994" s="41"/>
      <c r="B994" s="42"/>
      <c r="C994" s="42"/>
      <c r="D994" s="42"/>
      <c r="E994" s="44"/>
      <c r="F994" s="43"/>
      <c r="G994" s="19"/>
    </row>
    <row r="995" spans="1:7">
      <c r="A995" s="41"/>
      <c r="B995" s="42"/>
      <c r="C995" s="42"/>
      <c r="D995" s="42"/>
      <c r="E995" s="44"/>
      <c r="F995" s="43"/>
      <c r="G995" s="19"/>
    </row>
    <row r="996" spans="1:7">
      <c r="A996" s="41"/>
      <c r="B996" s="42"/>
      <c r="C996" s="42"/>
      <c r="D996" s="42"/>
      <c r="E996" s="44"/>
      <c r="F996" s="43"/>
      <c r="G996" s="19"/>
    </row>
    <row r="997" spans="1:7">
      <c r="A997" s="41"/>
      <c r="B997" s="42"/>
      <c r="C997" s="42"/>
      <c r="D997" s="42"/>
      <c r="E997" s="44"/>
      <c r="F997" s="43"/>
      <c r="G997" s="19"/>
    </row>
    <row r="998" spans="1:7">
      <c r="A998" s="41"/>
      <c r="B998" s="42"/>
      <c r="C998" s="42"/>
      <c r="D998" s="42"/>
      <c r="E998" s="44"/>
      <c r="F998" s="43"/>
      <c r="G998" s="19"/>
    </row>
    <row r="999" spans="1:7">
      <c r="A999" s="41"/>
      <c r="B999" s="42"/>
      <c r="C999" s="42"/>
      <c r="D999" s="42"/>
      <c r="E999" s="44"/>
      <c r="F999" s="43"/>
      <c r="G999" s="19"/>
    </row>
    <row r="1000" spans="1:7">
      <c r="A1000" s="41"/>
      <c r="B1000" s="42"/>
      <c r="C1000" s="42"/>
      <c r="D1000" s="42"/>
      <c r="E1000" s="44"/>
      <c r="F1000" s="43"/>
      <c r="G1000" s="19"/>
    </row>
    <row r="1001" spans="1:7">
      <c r="A1001" s="41"/>
      <c r="B1001" s="42"/>
      <c r="C1001" s="42"/>
      <c r="D1001" s="42"/>
      <c r="E1001" s="44"/>
      <c r="F1001" s="43"/>
      <c r="G1001" s="19"/>
    </row>
    <row r="1002" spans="1:7">
      <c r="A1002" s="41"/>
      <c r="B1002" s="42"/>
      <c r="C1002" s="42"/>
      <c r="D1002" s="42"/>
      <c r="E1002" s="44"/>
      <c r="F1002" s="43"/>
      <c r="G1002" s="19"/>
    </row>
    <row r="1003" spans="1:7">
      <c r="A1003" s="41"/>
      <c r="B1003" s="42"/>
      <c r="C1003" s="42"/>
      <c r="D1003" s="42"/>
      <c r="E1003" s="44"/>
      <c r="F1003" s="43"/>
      <c r="G1003" s="19"/>
    </row>
    <row r="1004" spans="1:7">
      <c r="A1004" s="41"/>
      <c r="B1004" s="42"/>
      <c r="C1004" s="42"/>
      <c r="D1004" s="42"/>
      <c r="E1004" s="44"/>
      <c r="F1004" s="43"/>
      <c r="G1004" s="19"/>
    </row>
    <row r="1005" spans="1:7">
      <c r="A1005" s="41"/>
      <c r="B1005" s="42"/>
      <c r="C1005" s="42"/>
      <c r="D1005" s="42"/>
      <c r="E1005" s="44"/>
      <c r="F1005" s="43"/>
      <c r="G1005" s="19"/>
    </row>
    <row r="1006" spans="1:7">
      <c r="A1006" s="41"/>
      <c r="B1006" s="42"/>
      <c r="C1006" s="42"/>
      <c r="D1006" s="42"/>
      <c r="E1006" s="44"/>
      <c r="F1006" s="43"/>
      <c r="G1006" s="19"/>
    </row>
    <row r="1007" spans="1:7">
      <c r="A1007" s="41"/>
      <c r="B1007" s="42"/>
      <c r="C1007" s="42"/>
      <c r="D1007" s="42"/>
      <c r="E1007" s="44"/>
      <c r="F1007" s="43"/>
      <c r="G1007" s="19"/>
    </row>
    <row r="1008" spans="1:7">
      <c r="A1008" s="41"/>
      <c r="B1008" s="42"/>
      <c r="C1008" s="42"/>
      <c r="D1008" s="42"/>
      <c r="E1008" s="44"/>
      <c r="F1008" s="43"/>
      <c r="G1008" s="19"/>
    </row>
    <row r="1009" spans="1:7">
      <c r="A1009" s="41"/>
      <c r="B1009" s="42"/>
      <c r="C1009" s="42"/>
      <c r="D1009" s="42"/>
      <c r="E1009" s="44"/>
      <c r="F1009" s="43"/>
      <c r="G1009" s="19"/>
    </row>
    <row r="1010" spans="1:7">
      <c r="A1010" s="41"/>
      <c r="B1010" s="42"/>
      <c r="C1010" s="42"/>
      <c r="D1010" s="42"/>
      <c r="E1010" s="44"/>
      <c r="F1010" s="43"/>
      <c r="G1010" s="19"/>
    </row>
    <row r="1011" spans="1:7">
      <c r="A1011" s="41"/>
      <c r="B1011" s="42"/>
      <c r="C1011" s="42"/>
      <c r="D1011" s="42"/>
      <c r="E1011" s="44"/>
      <c r="F1011" s="43"/>
      <c r="G1011" s="19"/>
    </row>
    <row r="1012" spans="1:7">
      <c r="A1012" s="41"/>
      <c r="B1012" s="42"/>
      <c r="C1012" s="42"/>
      <c r="D1012" s="42"/>
      <c r="E1012" s="44"/>
      <c r="F1012" s="43"/>
      <c r="G1012" s="19"/>
    </row>
    <row r="1013" spans="1:7">
      <c r="A1013" s="41"/>
      <c r="B1013" s="42"/>
      <c r="C1013" s="42"/>
      <c r="D1013" s="42"/>
      <c r="E1013" s="44"/>
      <c r="F1013" s="43"/>
      <c r="G1013" s="19"/>
    </row>
    <row r="1014" spans="1:7">
      <c r="A1014" s="41"/>
      <c r="B1014" s="42"/>
      <c r="C1014" s="42"/>
      <c r="D1014" s="42"/>
      <c r="E1014" s="44"/>
      <c r="F1014" s="43"/>
      <c r="G1014" s="19"/>
    </row>
    <row r="1015" spans="1:7">
      <c r="A1015" s="41"/>
      <c r="B1015" s="42"/>
      <c r="C1015" s="42"/>
      <c r="D1015" s="42"/>
      <c r="E1015" s="44"/>
      <c r="F1015" s="43"/>
      <c r="G1015" s="19"/>
    </row>
    <row r="1016" spans="1:7">
      <c r="A1016" s="41"/>
      <c r="B1016" s="42"/>
      <c r="C1016" s="42"/>
      <c r="D1016" s="42"/>
      <c r="E1016" s="44"/>
      <c r="F1016" s="43"/>
      <c r="G1016" s="19"/>
    </row>
    <row r="1017" spans="1:7">
      <c r="A1017" s="41"/>
      <c r="B1017" s="42"/>
      <c r="C1017" s="42"/>
      <c r="D1017" s="42"/>
      <c r="E1017" s="44"/>
      <c r="F1017" s="43"/>
      <c r="G1017" s="19"/>
    </row>
    <row r="1018" spans="1:7">
      <c r="A1018" s="41"/>
      <c r="B1018" s="42"/>
      <c r="C1018" s="42"/>
      <c r="D1018" s="42"/>
      <c r="E1018" s="44"/>
      <c r="F1018" s="43"/>
      <c r="G1018" s="19"/>
    </row>
    <row r="1019" spans="1:7">
      <c r="A1019" s="41"/>
      <c r="B1019" s="42"/>
      <c r="C1019" s="42"/>
      <c r="D1019" s="42"/>
      <c r="E1019" s="44"/>
      <c r="F1019" s="43"/>
      <c r="G1019" s="19"/>
    </row>
    <row r="1020" spans="1:7">
      <c r="A1020" s="41"/>
      <c r="B1020" s="42"/>
      <c r="C1020" s="42"/>
      <c r="D1020" s="42"/>
      <c r="E1020" s="44"/>
      <c r="F1020" s="43"/>
      <c r="G1020" s="19"/>
    </row>
    <row r="1021" spans="1:7">
      <c r="A1021" s="41"/>
      <c r="B1021" s="42"/>
      <c r="C1021" s="42"/>
      <c r="D1021" s="42"/>
      <c r="E1021" s="44"/>
      <c r="F1021" s="43"/>
      <c r="G1021" s="19"/>
    </row>
    <row r="1022" spans="1:7">
      <c r="A1022" s="41"/>
      <c r="B1022" s="42"/>
      <c r="C1022" s="42"/>
      <c r="D1022" s="42"/>
      <c r="E1022" s="44"/>
      <c r="F1022" s="43"/>
      <c r="G1022" s="19"/>
    </row>
    <row r="1023" spans="1:7">
      <c r="A1023" s="41"/>
      <c r="B1023" s="42"/>
      <c r="C1023" s="42"/>
      <c r="D1023" s="42"/>
      <c r="E1023" s="44"/>
      <c r="F1023" s="43"/>
      <c r="G1023" s="19"/>
    </row>
    <row r="1024" spans="1:7">
      <c r="A1024" s="41"/>
      <c r="B1024" s="42"/>
      <c r="C1024" s="42"/>
      <c r="D1024" s="42"/>
      <c r="E1024" s="44"/>
      <c r="F1024" s="43"/>
      <c r="G1024" s="19"/>
    </row>
    <row r="1025" spans="1:7">
      <c r="A1025" s="41"/>
      <c r="B1025" s="42"/>
      <c r="C1025" s="42"/>
      <c r="D1025" s="42"/>
      <c r="E1025" s="44"/>
      <c r="F1025" s="43"/>
      <c r="G1025" s="19"/>
    </row>
    <row r="1026" spans="1:7">
      <c r="A1026" s="41"/>
      <c r="B1026" s="42"/>
      <c r="C1026" s="42"/>
      <c r="D1026" s="42"/>
      <c r="E1026" s="44"/>
      <c r="F1026" s="43"/>
      <c r="G1026" s="19"/>
    </row>
    <row r="1027" spans="1:7">
      <c r="A1027" s="41"/>
      <c r="B1027" s="42"/>
      <c r="C1027" s="42"/>
      <c r="D1027" s="42"/>
      <c r="E1027" s="44"/>
      <c r="F1027" s="43"/>
      <c r="G1027" s="19"/>
    </row>
    <row r="1028" spans="1:7">
      <c r="A1028" s="41"/>
      <c r="B1028" s="42"/>
      <c r="C1028" s="42"/>
      <c r="D1028" s="42"/>
      <c r="E1028" s="44"/>
      <c r="F1028" s="43"/>
      <c r="G1028" s="19"/>
    </row>
    <row r="1029" spans="1:7">
      <c r="A1029" s="41"/>
      <c r="B1029" s="42"/>
      <c r="C1029" s="42"/>
      <c r="D1029" s="42"/>
      <c r="E1029" s="44"/>
      <c r="F1029" s="43"/>
      <c r="G1029" s="19"/>
    </row>
    <row r="1030" spans="1:7">
      <c r="A1030" s="41"/>
      <c r="B1030" s="42"/>
      <c r="C1030" s="42"/>
      <c r="D1030" s="42"/>
      <c r="E1030" s="44"/>
      <c r="F1030" s="43"/>
      <c r="G1030" s="19"/>
    </row>
    <row r="1031" spans="1:7">
      <c r="A1031" s="41"/>
      <c r="B1031" s="42"/>
      <c r="C1031" s="42"/>
      <c r="D1031" s="42"/>
      <c r="E1031" s="44"/>
      <c r="F1031" s="43"/>
      <c r="G1031" s="19"/>
    </row>
    <row r="1032" spans="1:7">
      <c r="A1032" s="41"/>
      <c r="B1032" s="42"/>
      <c r="C1032" s="42"/>
      <c r="D1032" s="42"/>
      <c r="E1032" s="44"/>
      <c r="F1032" s="43"/>
      <c r="G1032" s="19"/>
    </row>
    <row r="1033" spans="1:7">
      <c r="A1033" s="41"/>
      <c r="B1033" s="42"/>
      <c r="C1033" s="42"/>
      <c r="D1033" s="42"/>
      <c r="E1033" s="44"/>
      <c r="F1033" s="43"/>
      <c r="G1033" s="19"/>
    </row>
    <row r="1034" spans="1:7">
      <c r="A1034" s="41"/>
      <c r="B1034" s="42"/>
      <c r="C1034" s="42"/>
      <c r="D1034" s="42"/>
      <c r="E1034" s="44"/>
      <c r="F1034" s="43"/>
      <c r="G1034" s="19"/>
    </row>
    <row r="1035" spans="1:7">
      <c r="A1035" s="41"/>
      <c r="B1035" s="42"/>
      <c r="C1035" s="42"/>
      <c r="D1035" s="42"/>
      <c r="E1035" s="44"/>
      <c r="F1035" s="43"/>
      <c r="G1035" s="19"/>
    </row>
    <row r="1036" spans="1:7">
      <c r="A1036" s="41"/>
      <c r="B1036" s="42"/>
      <c r="C1036" s="42"/>
      <c r="D1036" s="42"/>
      <c r="E1036" s="44"/>
      <c r="F1036" s="43"/>
      <c r="G1036" s="19"/>
    </row>
    <row r="1037" spans="1:7">
      <c r="A1037" s="41"/>
      <c r="B1037" s="42"/>
      <c r="C1037" s="42"/>
      <c r="D1037" s="42"/>
      <c r="E1037" s="44"/>
      <c r="F1037" s="43"/>
      <c r="G1037" s="19"/>
    </row>
    <row r="1038" spans="1:7">
      <c r="A1038" s="41"/>
      <c r="B1038" s="42"/>
      <c r="C1038" s="42"/>
      <c r="D1038" s="42"/>
      <c r="E1038" s="44"/>
      <c r="F1038" s="43"/>
      <c r="G1038" s="19"/>
    </row>
    <row r="1039" spans="1:7">
      <c r="A1039" s="41"/>
      <c r="B1039" s="42"/>
      <c r="C1039" s="42"/>
      <c r="D1039" s="42"/>
      <c r="E1039" s="44"/>
      <c r="F1039" s="43"/>
      <c r="G1039" s="19"/>
    </row>
    <row r="1040" spans="1:7">
      <c r="A1040" s="41"/>
      <c r="B1040" s="42"/>
      <c r="C1040" s="42"/>
      <c r="D1040" s="42"/>
      <c r="E1040" s="44"/>
      <c r="F1040" s="43"/>
      <c r="G1040" s="19"/>
    </row>
    <row r="1041" spans="1:7">
      <c r="A1041" s="41"/>
      <c r="B1041" s="42"/>
      <c r="C1041" s="42"/>
      <c r="D1041" s="42"/>
      <c r="E1041" s="44"/>
      <c r="F1041" s="43"/>
      <c r="G1041" s="19"/>
    </row>
    <row r="1042" spans="1:7">
      <c r="A1042" s="41"/>
      <c r="B1042" s="42"/>
      <c r="C1042" s="42"/>
      <c r="D1042" s="42"/>
      <c r="E1042" s="44"/>
      <c r="F1042" s="43"/>
      <c r="G1042" s="19"/>
    </row>
    <row r="1043" spans="1:7">
      <c r="A1043" s="41"/>
      <c r="B1043" s="42"/>
      <c r="C1043" s="42"/>
      <c r="D1043" s="42"/>
      <c r="E1043" s="44"/>
      <c r="F1043" s="43"/>
      <c r="G1043" s="19"/>
    </row>
    <row r="1044" spans="1:7">
      <c r="A1044" s="41"/>
      <c r="B1044" s="42"/>
      <c r="C1044" s="42"/>
      <c r="D1044" s="42"/>
      <c r="E1044" s="44"/>
      <c r="F1044" s="43"/>
      <c r="G1044" s="19"/>
    </row>
    <row r="1045" spans="1:7">
      <c r="A1045" s="41"/>
      <c r="B1045" s="42"/>
      <c r="C1045" s="42"/>
      <c r="D1045" s="42"/>
      <c r="E1045" s="44"/>
      <c r="F1045" s="43"/>
      <c r="G1045" s="19"/>
    </row>
    <row r="1046" spans="1:7">
      <c r="A1046" s="41"/>
      <c r="B1046" s="42"/>
      <c r="C1046" s="42"/>
      <c r="D1046" s="42"/>
      <c r="E1046" s="44"/>
      <c r="F1046" s="43"/>
      <c r="G1046" s="19"/>
    </row>
    <row r="1047" spans="1:7">
      <c r="A1047" s="41"/>
      <c r="B1047" s="42"/>
      <c r="C1047" s="42"/>
      <c r="D1047" s="42"/>
      <c r="E1047" s="44"/>
      <c r="F1047" s="43"/>
      <c r="G1047" s="19"/>
    </row>
    <row r="1048" spans="1:7">
      <c r="A1048" s="41"/>
      <c r="B1048" s="42"/>
      <c r="C1048" s="42"/>
      <c r="D1048" s="42"/>
      <c r="E1048" s="44"/>
      <c r="F1048" s="43"/>
      <c r="G1048" s="19"/>
    </row>
    <row r="1049" spans="1:7">
      <c r="A1049" s="41"/>
      <c r="B1049" s="42"/>
      <c r="C1049" s="42"/>
      <c r="D1049" s="42"/>
      <c r="E1049" s="44"/>
      <c r="F1049" s="43"/>
      <c r="G1049" s="19"/>
    </row>
    <row r="1050" spans="1:7">
      <c r="A1050" s="41"/>
      <c r="B1050" s="42"/>
      <c r="C1050" s="42"/>
      <c r="D1050" s="42"/>
      <c r="E1050" s="44"/>
      <c r="F1050" s="43"/>
      <c r="G1050" s="19"/>
    </row>
    <row r="1051" spans="1:7">
      <c r="A1051" s="41"/>
      <c r="B1051" s="42"/>
      <c r="C1051" s="42"/>
      <c r="D1051" s="42"/>
      <c r="E1051" s="44"/>
      <c r="F1051" s="43"/>
      <c r="G1051" s="19"/>
    </row>
    <row r="1052" spans="1:7">
      <c r="A1052" s="41"/>
      <c r="B1052" s="42"/>
      <c r="C1052" s="42"/>
      <c r="D1052" s="42"/>
      <c r="E1052" s="44"/>
      <c r="F1052" s="43"/>
      <c r="G1052" s="19"/>
    </row>
    <row r="1053" spans="1:7">
      <c r="A1053" s="41"/>
      <c r="B1053" s="42"/>
      <c r="C1053" s="42"/>
      <c r="D1053" s="42"/>
      <c r="E1053" s="44"/>
      <c r="F1053" s="43"/>
      <c r="G1053" s="19"/>
    </row>
    <row r="1054" spans="1:7">
      <c r="A1054" s="41"/>
      <c r="B1054" s="42"/>
      <c r="C1054" s="42"/>
      <c r="D1054" s="42"/>
      <c r="E1054" s="44"/>
      <c r="F1054" s="43"/>
      <c r="G1054" s="19"/>
    </row>
    <row r="1055" spans="1:7">
      <c r="A1055" s="41"/>
      <c r="B1055" s="42"/>
      <c r="C1055" s="42"/>
      <c r="D1055" s="42"/>
      <c r="E1055" s="44"/>
      <c r="F1055" s="43"/>
      <c r="G1055" s="19"/>
    </row>
    <row r="1056" spans="1:7">
      <c r="A1056" s="41"/>
      <c r="B1056" s="42"/>
      <c r="C1056" s="42"/>
      <c r="D1056" s="42"/>
      <c r="E1056" s="44"/>
      <c r="F1056" s="43"/>
      <c r="G1056" s="19"/>
    </row>
    <row r="1057" spans="1:7">
      <c r="A1057" s="41"/>
      <c r="B1057" s="42"/>
      <c r="C1057" s="42"/>
      <c r="D1057" s="42"/>
      <c r="E1057" s="44"/>
      <c r="F1057" s="43"/>
      <c r="G1057" s="19"/>
    </row>
    <row r="1058" spans="1:7">
      <c r="A1058" s="41"/>
      <c r="B1058" s="42"/>
      <c r="C1058" s="42"/>
      <c r="D1058" s="42"/>
      <c r="E1058" s="44"/>
      <c r="F1058" s="43"/>
      <c r="G1058" s="19"/>
    </row>
    <row r="1059" spans="1:7">
      <c r="A1059" s="41"/>
      <c r="B1059" s="42"/>
      <c r="C1059" s="42"/>
      <c r="D1059" s="42"/>
      <c r="E1059" s="44"/>
      <c r="F1059" s="43"/>
      <c r="G1059" s="19"/>
    </row>
    <row r="1060" spans="1:7">
      <c r="A1060" s="41"/>
      <c r="B1060" s="42"/>
      <c r="C1060" s="42"/>
      <c r="D1060" s="42"/>
      <c r="E1060" s="44"/>
      <c r="F1060" s="43"/>
      <c r="G1060" s="19"/>
    </row>
    <row r="1061" spans="1:7">
      <c r="A1061" s="41"/>
      <c r="B1061" s="42"/>
      <c r="C1061" s="42"/>
      <c r="D1061" s="42"/>
      <c r="E1061" s="44"/>
      <c r="F1061" s="43"/>
      <c r="G1061" s="19"/>
    </row>
    <row r="1062" spans="1:7">
      <c r="A1062" s="41"/>
      <c r="B1062" s="42"/>
      <c r="C1062" s="42"/>
      <c r="D1062" s="42"/>
      <c r="E1062" s="44"/>
      <c r="F1062" s="43"/>
      <c r="G1062" s="19"/>
    </row>
    <row r="1063" spans="1:7">
      <c r="A1063" s="41"/>
      <c r="B1063" s="42"/>
      <c r="C1063" s="42"/>
      <c r="D1063" s="42"/>
      <c r="E1063" s="44"/>
      <c r="F1063" s="43"/>
      <c r="G1063" s="19"/>
    </row>
    <row r="1064" spans="1:7">
      <c r="A1064" s="41"/>
      <c r="B1064" s="42"/>
      <c r="C1064" s="42"/>
      <c r="D1064" s="42"/>
      <c r="E1064" s="44"/>
      <c r="F1064" s="43"/>
      <c r="G1064" s="19"/>
    </row>
    <row r="1065" spans="1:7">
      <c r="A1065" s="41"/>
      <c r="B1065" s="42"/>
      <c r="C1065" s="42"/>
      <c r="D1065" s="42"/>
      <c r="E1065" s="44"/>
      <c r="F1065" s="43"/>
      <c r="G1065" s="19"/>
    </row>
    <row r="1066" spans="1:7">
      <c r="A1066" s="41"/>
      <c r="B1066" s="42"/>
      <c r="C1066" s="42"/>
      <c r="D1066" s="42"/>
      <c r="E1066" s="44"/>
      <c r="F1066" s="43"/>
      <c r="G1066" s="19"/>
    </row>
    <row r="1067" spans="1:7">
      <c r="A1067" s="41"/>
      <c r="B1067" s="42"/>
      <c r="C1067" s="42"/>
      <c r="D1067" s="42"/>
      <c r="E1067" s="44"/>
      <c r="F1067" s="43"/>
      <c r="G1067" s="19"/>
    </row>
    <row r="1068" spans="1:7">
      <c r="A1068" s="41"/>
      <c r="B1068" s="42"/>
      <c r="C1068" s="42"/>
      <c r="D1068" s="42"/>
      <c r="E1068" s="44"/>
      <c r="F1068" s="43"/>
      <c r="G1068" s="19"/>
    </row>
    <row r="1069" spans="1:7">
      <c r="A1069" s="41"/>
      <c r="B1069" s="42"/>
      <c r="C1069" s="42"/>
      <c r="D1069" s="42"/>
      <c r="E1069" s="44"/>
      <c r="F1069" s="43"/>
      <c r="G1069" s="19"/>
    </row>
    <row r="1070" spans="1:7">
      <c r="A1070" s="41"/>
      <c r="B1070" s="42"/>
      <c r="C1070" s="42"/>
      <c r="D1070" s="42"/>
      <c r="E1070" s="44"/>
      <c r="F1070" s="43"/>
      <c r="G1070" s="19"/>
    </row>
    <row r="1071" spans="1:7">
      <c r="A1071" s="41"/>
      <c r="B1071" s="42"/>
      <c r="C1071" s="42"/>
      <c r="D1071" s="42"/>
      <c r="E1071" s="44"/>
      <c r="F1071" s="43"/>
      <c r="G1071" s="19"/>
    </row>
    <row r="1072" spans="1:7">
      <c r="A1072" s="41"/>
      <c r="B1072" s="42"/>
      <c r="C1072" s="42"/>
      <c r="D1072" s="42"/>
      <c r="E1072" s="44"/>
      <c r="F1072" s="43"/>
      <c r="G1072" s="19"/>
    </row>
    <row r="1073" spans="1:7">
      <c r="A1073" s="41"/>
      <c r="B1073" s="42"/>
      <c r="C1073" s="42"/>
      <c r="D1073" s="42"/>
      <c r="E1073" s="44"/>
      <c r="F1073" s="43"/>
      <c r="G1073" s="19"/>
    </row>
    <row r="1074" spans="1:7">
      <c r="A1074" s="41"/>
      <c r="B1074" s="42"/>
      <c r="C1074" s="42"/>
      <c r="D1074" s="42"/>
      <c r="E1074" s="44"/>
      <c r="F1074" s="43"/>
      <c r="G1074" s="19"/>
    </row>
    <row r="1075" spans="1:7">
      <c r="A1075" s="41"/>
      <c r="B1075" s="42"/>
      <c r="C1075" s="42"/>
      <c r="D1075" s="42"/>
      <c r="E1075" s="44"/>
      <c r="F1075" s="43"/>
      <c r="G1075" s="19"/>
    </row>
    <row r="1076" spans="1:7">
      <c r="A1076" s="41"/>
      <c r="B1076" s="42"/>
      <c r="C1076" s="42"/>
      <c r="D1076" s="42"/>
      <c r="E1076" s="44"/>
      <c r="F1076" s="43"/>
      <c r="G1076" s="19"/>
    </row>
    <row r="1077" spans="1:7">
      <c r="A1077" s="41"/>
      <c r="B1077" s="42"/>
      <c r="C1077" s="42"/>
      <c r="D1077" s="42"/>
      <c r="E1077" s="44"/>
      <c r="F1077" s="43"/>
      <c r="G1077" s="19"/>
    </row>
    <row r="1078" spans="1:7">
      <c r="A1078" s="41"/>
      <c r="B1078" s="42"/>
      <c r="C1078" s="42"/>
      <c r="D1078" s="42"/>
      <c r="E1078" s="44"/>
      <c r="F1078" s="43"/>
      <c r="G1078" s="19"/>
    </row>
    <row r="1079" spans="1:7">
      <c r="A1079" s="41"/>
      <c r="B1079" s="42"/>
      <c r="C1079" s="42"/>
      <c r="D1079" s="42"/>
      <c r="E1079" s="44"/>
      <c r="F1079" s="43"/>
      <c r="G1079" s="19"/>
    </row>
    <row r="1080" spans="1:7">
      <c r="A1080" s="41"/>
      <c r="B1080" s="42"/>
      <c r="C1080" s="42"/>
      <c r="D1080" s="42"/>
      <c r="E1080" s="44"/>
      <c r="F1080" s="43"/>
      <c r="G1080" s="19"/>
    </row>
    <row r="1081" spans="1:7">
      <c r="A1081" s="41"/>
      <c r="B1081" s="42"/>
      <c r="C1081" s="42"/>
      <c r="D1081" s="42"/>
      <c r="E1081" s="44"/>
      <c r="F1081" s="43"/>
      <c r="G1081" s="19"/>
    </row>
    <row r="1082" spans="1:7">
      <c r="A1082" s="41"/>
      <c r="B1082" s="42"/>
      <c r="C1082" s="42"/>
      <c r="D1082" s="42"/>
      <c r="E1082" s="44"/>
      <c r="F1082" s="43"/>
      <c r="G1082" s="19"/>
    </row>
    <row r="1083" spans="1:7">
      <c r="A1083" s="41"/>
      <c r="B1083" s="42"/>
      <c r="C1083" s="42"/>
      <c r="D1083" s="42"/>
      <c r="E1083" s="44"/>
      <c r="F1083" s="43"/>
      <c r="G1083" s="19"/>
    </row>
    <row r="1084" spans="1:7">
      <c r="A1084" s="41"/>
      <c r="B1084" s="42"/>
      <c r="C1084" s="42"/>
      <c r="D1084" s="42"/>
      <c r="E1084" s="44"/>
      <c r="F1084" s="43"/>
      <c r="G1084" s="19"/>
    </row>
    <row r="1085" spans="1:7">
      <c r="A1085" s="41"/>
      <c r="B1085" s="42"/>
      <c r="C1085" s="42"/>
      <c r="D1085" s="42"/>
      <c r="E1085" s="44"/>
      <c r="F1085" s="43"/>
      <c r="G1085" s="19"/>
    </row>
    <row r="1086" spans="1:7">
      <c r="A1086" s="41"/>
      <c r="B1086" s="42"/>
      <c r="C1086" s="42"/>
      <c r="D1086" s="42"/>
      <c r="E1086" s="44"/>
      <c r="F1086" s="43"/>
      <c r="G1086" s="19"/>
    </row>
    <row r="1087" spans="1:7">
      <c r="A1087" s="41"/>
      <c r="B1087" s="42"/>
      <c r="C1087" s="42"/>
      <c r="D1087" s="42"/>
      <c r="E1087" s="44"/>
      <c r="F1087" s="43"/>
      <c r="G1087" s="19"/>
    </row>
    <row r="1088" spans="1:7">
      <c r="A1088" s="41"/>
      <c r="B1088" s="42"/>
      <c r="C1088" s="42"/>
      <c r="D1088" s="42"/>
      <c r="E1088" s="44"/>
      <c r="F1088" s="43"/>
      <c r="G1088" s="19"/>
    </row>
    <row r="1089" spans="1:7">
      <c r="A1089" s="41"/>
      <c r="B1089" s="42"/>
      <c r="C1089" s="42"/>
      <c r="D1089" s="42"/>
      <c r="E1089" s="44"/>
      <c r="F1089" s="43"/>
      <c r="G1089" s="19"/>
    </row>
    <row r="1090" spans="1:7">
      <c r="A1090" s="41"/>
      <c r="B1090" s="42"/>
      <c r="C1090" s="42"/>
      <c r="D1090" s="42"/>
      <c r="E1090" s="44"/>
      <c r="F1090" s="43"/>
      <c r="G1090" s="19"/>
    </row>
    <row r="1091" spans="1:7">
      <c r="A1091" s="41"/>
      <c r="B1091" s="42"/>
      <c r="C1091" s="42"/>
      <c r="D1091" s="42"/>
      <c r="E1091" s="44"/>
      <c r="F1091" s="43"/>
      <c r="G1091" s="19"/>
    </row>
    <row r="1092" spans="1:7">
      <c r="A1092" s="41"/>
      <c r="B1092" s="42"/>
      <c r="C1092" s="42"/>
      <c r="D1092" s="42"/>
      <c r="E1092" s="44"/>
      <c r="F1092" s="43"/>
      <c r="G1092" s="19"/>
    </row>
    <row r="1093" spans="1:7">
      <c r="A1093" s="41"/>
      <c r="B1093" s="42"/>
      <c r="C1093" s="42"/>
      <c r="D1093" s="42"/>
      <c r="E1093" s="44"/>
      <c r="F1093" s="43"/>
      <c r="G1093" s="19"/>
    </row>
    <row r="1094" spans="1:7">
      <c r="A1094" s="41"/>
      <c r="B1094" s="42"/>
      <c r="C1094" s="42"/>
      <c r="D1094" s="42"/>
      <c r="E1094" s="44"/>
      <c r="F1094" s="43"/>
      <c r="G1094" s="19"/>
    </row>
    <row r="1095" spans="1:7">
      <c r="A1095" s="41"/>
      <c r="B1095" s="42"/>
      <c r="C1095" s="42"/>
      <c r="D1095" s="42"/>
      <c r="E1095" s="44"/>
      <c r="F1095" s="43"/>
      <c r="G1095" s="19"/>
    </row>
    <row r="1096" spans="1:7">
      <c r="A1096" s="41"/>
      <c r="B1096" s="42"/>
      <c r="C1096" s="42"/>
      <c r="D1096" s="42"/>
      <c r="E1096" s="44"/>
      <c r="F1096" s="43"/>
      <c r="G1096" s="19"/>
    </row>
    <row r="1097" spans="1:7">
      <c r="A1097" s="41"/>
      <c r="B1097" s="42"/>
      <c r="C1097" s="42"/>
      <c r="D1097" s="42"/>
      <c r="E1097" s="44"/>
      <c r="F1097" s="43"/>
      <c r="G1097" s="19"/>
    </row>
    <row r="1098" spans="1:7">
      <c r="A1098" s="41"/>
      <c r="B1098" s="42"/>
      <c r="C1098" s="42"/>
      <c r="D1098" s="42"/>
      <c r="E1098" s="44"/>
      <c r="F1098" s="43"/>
      <c r="G1098" s="19"/>
    </row>
    <row r="1099" spans="1:7">
      <c r="A1099" s="41"/>
      <c r="B1099" s="42"/>
      <c r="C1099" s="42"/>
      <c r="D1099" s="42"/>
      <c r="E1099" s="44"/>
      <c r="F1099" s="43"/>
      <c r="G1099" s="19"/>
    </row>
    <row r="1100" spans="1:7">
      <c r="A1100" s="41"/>
      <c r="B1100" s="42"/>
      <c r="C1100" s="42"/>
      <c r="D1100" s="42"/>
      <c r="E1100" s="44"/>
      <c r="F1100" s="43"/>
      <c r="G1100" s="19"/>
    </row>
    <row r="1101" spans="1:7">
      <c r="A1101" s="41"/>
      <c r="B1101" s="42"/>
      <c r="C1101" s="42"/>
      <c r="D1101" s="42"/>
      <c r="E1101" s="44"/>
      <c r="F1101" s="43"/>
      <c r="G1101" s="19"/>
    </row>
    <row r="1102" spans="1:7">
      <c r="A1102" s="41"/>
      <c r="B1102" s="42"/>
      <c r="C1102" s="42"/>
      <c r="D1102" s="42"/>
      <c r="E1102" s="44"/>
      <c r="F1102" s="43"/>
      <c r="G1102" s="19"/>
    </row>
    <row r="1103" spans="1:7">
      <c r="A1103" s="41"/>
      <c r="B1103" s="42"/>
      <c r="C1103" s="42"/>
      <c r="D1103" s="42"/>
      <c r="E1103" s="44"/>
      <c r="F1103" s="43"/>
      <c r="G1103" s="19"/>
    </row>
    <row r="1104" spans="1:7">
      <c r="A1104" s="41"/>
      <c r="B1104" s="42"/>
      <c r="C1104" s="42"/>
      <c r="D1104" s="42"/>
      <c r="E1104" s="44"/>
      <c r="F1104" s="43"/>
      <c r="G1104" s="19"/>
    </row>
    <row r="1105" spans="1:7">
      <c r="A1105" s="41"/>
      <c r="B1105" s="42"/>
      <c r="C1105" s="42"/>
      <c r="D1105" s="42"/>
      <c r="E1105" s="44"/>
      <c r="F1105" s="43"/>
      <c r="G1105" s="19"/>
    </row>
    <row r="1106" spans="1:7">
      <c r="A1106" s="41"/>
      <c r="B1106" s="42"/>
      <c r="C1106" s="42"/>
      <c r="D1106" s="42"/>
      <c r="E1106" s="44"/>
      <c r="F1106" s="43"/>
      <c r="G1106" s="19"/>
    </row>
    <row r="1107" spans="1:7">
      <c r="A1107" s="41"/>
      <c r="B1107" s="42"/>
      <c r="C1107" s="42"/>
      <c r="D1107" s="42"/>
      <c r="E1107" s="44"/>
      <c r="F1107" s="43"/>
      <c r="G1107" s="19"/>
    </row>
    <row r="1108" spans="1:7">
      <c r="A1108" s="41"/>
      <c r="B1108" s="42"/>
      <c r="C1108" s="42"/>
      <c r="D1108" s="42"/>
      <c r="E1108" s="44"/>
      <c r="F1108" s="43"/>
      <c r="G1108" s="19"/>
    </row>
    <row r="1109" spans="1:7">
      <c r="A1109" s="41"/>
      <c r="B1109" s="42"/>
      <c r="C1109" s="42"/>
      <c r="D1109" s="42"/>
      <c r="E1109" s="44"/>
      <c r="F1109" s="43"/>
      <c r="G1109" s="19"/>
    </row>
    <row r="1110" spans="1:7">
      <c r="A1110" s="41"/>
      <c r="B1110" s="42"/>
      <c r="C1110" s="42"/>
      <c r="D1110" s="42"/>
      <c r="E1110" s="44"/>
      <c r="F1110" s="43"/>
      <c r="G1110" s="19"/>
    </row>
    <row r="1111" spans="1:7">
      <c r="A1111" s="41"/>
      <c r="B1111" s="42"/>
      <c r="C1111" s="42"/>
      <c r="D1111" s="42"/>
      <c r="E1111" s="44"/>
      <c r="F1111" s="43"/>
      <c r="G1111" s="19"/>
    </row>
    <row r="1112" spans="1:7">
      <c r="A1112" s="41"/>
      <c r="B1112" s="42"/>
      <c r="C1112" s="42"/>
      <c r="D1112" s="42"/>
      <c r="E1112" s="44"/>
      <c r="F1112" s="43"/>
      <c r="G1112" s="19"/>
    </row>
    <row r="1113" spans="1:7">
      <c r="A1113" s="41"/>
      <c r="B1113" s="42"/>
      <c r="C1113" s="42"/>
      <c r="D1113" s="42"/>
      <c r="E1113" s="44"/>
      <c r="F1113" s="43"/>
      <c r="G1113" s="19"/>
    </row>
    <row r="1114" spans="1:7">
      <c r="A1114" s="41"/>
      <c r="B1114" s="42"/>
      <c r="C1114" s="42"/>
      <c r="D1114" s="42"/>
      <c r="E1114" s="44"/>
      <c r="F1114" s="43"/>
      <c r="G1114" s="19"/>
    </row>
    <row r="1115" spans="1:7">
      <c r="A1115" s="41"/>
      <c r="B1115" s="42"/>
      <c r="C1115" s="42"/>
      <c r="D1115" s="42"/>
      <c r="E1115" s="44"/>
      <c r="F1115" s="43"/>
      <c r="G1115" s="19"/>
    </row>
    <row r="1116" spans="1:7">
      <c r="A1116" s="41"/>
      <c r="B1116" s="42"/>
      <c r="C1116" s="42"/>
      <c r="D1116" s="42"/>
      <c r="E1116" s="44"/>
      <c r="F1116" s="43"/>
      <c r="G1116" s="19"/>
    </row>
    <row r="1117" spans="1:7">
      <c r="A1117" s="41"/>
      <c r="B1117" s="42"/>
      <c r="C1117" s="42"/>
      <c r="D1117" s="42"/>
      <c r="E1117" s="44"/>
      <c r="F1117" s="43"/>
      <c r="G1117" s="19"/>
    </row>
    <row r="1118" spans="1:7">
      <c r="A1118" s="41"/>
      <c r="B1118" s="42"/>
      <c r="C1118" s="42"/>
      <c r="D1118" s="42"/>
      <c r="E1118" s="44"/>
      <c r="F1118" s="43"/>
      <c r="G1118" s="19"/>
    </row>
    <row r="1119" spans="1:7">
      <c r="A1119" s="41"/>
      <c r="B1119" s="42"/>
      <c r="C1119" s="42"/>
      <c r="D1119" s="42"/>
      <c r="E1119" s="44"/>
      <c r="F1119" s="43"/>
      <c r="G1119" s="19"/>
    </row>
    <row r="1120" spans="1:7">
      <c r="A1120" s="41"/>
      <c r="B1120" s="42"/>
      <c r="C1120" s="42"/>
      <c r="D1120" s="42"/>
      <c r="E1120" s="44"/>
      <c r="F1120" s="43"/>
      <c r="G1120" s="19"/>
    </row>
    <row r="1121" spans="1:7">
      <c r="A1121" s="41"/>
      <c r="B1121" s="42"/>
      <c r="C1121" s="42"/>
      <c r="D1121" s="42"/>
      <c r="E1121" s="44"/>
      <c r="F1121" s="43"/>
      <c r="G1121" s="19"/>
    </row>
    <row r="1122" spans="1:7">
      <c r="A1122" s="41"/>
      <c r="B1122" s="42"/>
      <c r="C1122" s="42"/>
      <c r="D1122" s="42"/>
      <c r="E1122" s="44"/>
      <c r="F1122" s="43"/>
      <c r="G1122" s="19"/>
    </row>
    <row r="1123" spans="1:7">
      <c r="A1123" s="41"/>
      <c r="B1123" s="42"/>
      <c r="C1123" s="42"/>
      <c r="D1123" s="42"/>
      <c r="E1123" s="44"/>
      <c r="F1123" s="43"/>
      <c r="G1123" s="19"/>
    </row>
    <row r="1124" spans="1:7">
      <c r="A1124" s="41"/>
      <c r="B1124" s="42"/>
      <c r="C1124" s="42"/>
      <c r="D1124" s="42"/>
      <c r="E1124" s="44"/>
      <c r="F1124" s="43"/>
      <c r="G1124" s="19"/>
    </row>
    <row r="1125" spans="1:7">
      <c r="A1125" s="41"/>
      <c r="B1125" s="42"/>
      <c r="C1125" s="42"/>
      <c r="D1125" s="42"/>
      <c r="E1125" s="44"/>
      <c r="F1125" s="43"/>
      <c r="G1125" s="19"/>
    </row>
    <row r="1126" spans="1:7">
      <c r="A1126" s="41"/>
      <c r="B1126" s="42"/>
      <c r="C1126" s="42"/>
      <c r="D1126" s="42"/>
      <c r="E1126" s="44"/>
      <c r="F1126" s="43"/>
      <c r="G1126" s="19"/>
    </row>
    <row r="1127" spans="1:7">
      <c r="A1127" s="41"/>
      <c r="B1127" s="42"/>
      <c r="C1127" s="42"/>
      <c r="D1127" s="42"/>
      <c r="E1127" s="44"/>
      <c r="F1127" s="43"/>
      <c r="G1127" s="19"/>
    </row>
    <row r="1128" spans="1:7">
      <c r="A1128" s="41"/>
      <c r="B1128" s="42"/>
      <c r="C1128" s="42"/>
      <c r="D1128" s="42"/>
      <c r="E1128" s="44"/>
      <c r="F1128" s="43"/>
      <c r="G1128" s="19"/>
    </row>
    <row r="1129" spans="1:7">
      <c r="A1129" s="41"/>
      <c r="B1129" s="42"/>
      <c r="C1129" s="42"/>
      <c r="D1129" s="42"/>
      <c r="E1129" s="44"/>
      <c r="F1129" s="43"/>
      <c r="G1129" s="19"/>
    </row>
    <row r="1130" spans="1:7">
      <c r="A1130" s="41"/>
      <c r="B1130" s="42"/>
      <c r="C1130" s="42"/>
      <c r="D1130" s="42"/>
      <c r="E1130" s="44"/>
      <c r="F1130" s="43"/>
      <c r="G1130" s="19"/>
    </row>
    <row r="1131" spans="1:7">
      <c r="A1131" s="41"/>
      <c r="B1131" s="42"/>
      <c r="C1131" s="42"/>
      <c r="D1131" s="42"/>
      <c r="E1131" s="44"/>
      <c r="F1131" s="43"/>
      <c r="G1131" s="19"/>
    </row>
    <row r="1132" spans="1:7">
      <c r="A1132" s="41"/>
      <c r="B1132" s="42"/>
      <c r="C1132" s="42"/>
      <c r="D1132" s="42"/>
      <c r="E1132" s="44"/>
      <c r="F1132" s="43"/>
      <c r="G1132" s="19"/>
    </row>
    <row r="1133" spans="1:7">
      <c r="A1133" s="41"/>
      <c r="B1133" s="42"/>
      <c r="C1133" s="42"/>
      <c r="D1133" s="42"/>
      <c r="E1133" s="44"/>
      <c r="F1133" s="43"/>
      <c r="G1133" s="19"/>
    </row>
    <row r="1134" spans="1:7">
      <c r="A1134" s="41"/>
      <c r="B1134" s="42"/>
      <c r="C1134" s="42"/>
      <c r="D1134" s="42"/>
      <c r="E1134" s="44"/>
      <c r="F1134" s="43"/>
      <c r="G1134" s="19"/>
    </row>
    <row r="1135" spans="1:7">
      <c r="A1135" s="41"/>
      <c r="B1135" s="42"/>
      <c r="C1135" s="42"/>
      <c r="D1135" s="42"/>
      <c r="E1135" s="44"/>
      <c r="F1135" s="43"/>
      <c r="G1135" s="19"/>
    </row>
    <row r="1136" spans="1:7">
      <c r="A1136" s="41"/>
      <c r="B1136" s="42"/>
      <c r="C1136" s="42"/>
      <c r="D1136" s="42"/>
      <c r="E1136" s="44"/>
      <c r="F1136" s="43"/>
      <c r="G1136" s="19"/>
    </row>
    <row r="1137" spans="1:7">
      <c r="A1137" s="41"/>
      <c r="B1137" s="42"/>
      <c r="C1137" s="42"/>
      <c r="D1137" s="42"/>
      <c r="E1137" s="44"/>
      <c r="F1137" s="43"/>
      <c r="G1137" s="19"/>
    </row>
    <row r="1138" spans="1:7">
      <c r="A1138" s="41"/>
      <c r="B1138" s="42"/>
      <c r="C1138" s="42"/>
      <c r="D1138" s="42"/>
      <c r="E1138" s="44"/>
      <c r="F1138" s="43"/>
      <c r="G1138" s="19"/>
    </row>
    <row r="1139" spans="1:7">
      <c r="A1139" s="41"/>
      <c r="B1139" s="42"/>
      <c r="C1139" s="42"/>
      <c r="D1139" s="42"/>
      <c r="E1139" s="44"/>
      <c r="F1139" s="43"/>
      <c r="G1139" s="19"/>
    </row>
    <row r="1140" spans="1:7">
      <c r="A1140" s="41"/>
      <c r="B1140" s="42"/>
      <c r="C1140" s="42"/>
      <c r="D1140" s="42"/>
      <c r="E1140" s="44"/>
      <c r="F1140" s="43"/>
      <c r="G1140" s="19"/>
    </row>
    <row r="1141" spans="1:7">
      <c r="A1141" s="41"/>
      <c r="B1141" s="42"/>
      <c r="C1141" s="42"/>
      <c r="D1141" s="42"/>
      <c r="E1141" s="44"/>
      <c r="F1141" s="43"/>
      <c r="G1141" s="19"/>
    </row>
    <row r="1142" spans="1:7">
      <c r="A1142" s="41"/>
      <c r="B1142" s="42"/>
      <c r="C1142" s="42"/>
      <c r="D1142" s="42"/>
      <c r="E1142" s="44"/>
      <c r="F1142" s="43"/>
      <c r="G1142" s="19"/>
    </row>
    <row r="1143" spans="1:7">
      <c r="A1143" s="41"/>
      <c r="B1143" s="42"/>
      <c r="C1143" s="42"/>
      <c r="D1143" s="42"/>
      <c r="E1143" s="44"/>
      <c r="F1143" s="43"/>
      <c r="G1143" s="19"/>
    </row>
    <row r="1144" spans="1:7">
      <c r="A1144" s="41"/>
      <c r="B1144" s="42"/>
      <c r="C1144" s="42"/>
      <c r="D1144" s="42"/>
      <c r="E1144" s="44"/>
      <c r="F1144" s="43"/>
      <c r="G1144" s="19"/>
    </row>
    <row r="1145" spans="1:7">
      <c r="A1145" s="41"/>
      <c r="B1145" s="42"/>
      <c r="C1145" s="42"/>
      <c r="D1145" s="42"/>
      <c r="E1145" s="44"/>
      <c r="F1145" s="43"/>
      <c r="G1145" s="19"/>
    </row>
    <row r="1146" spans="1:7">
      <c r="A1146" s="41"/>
      <c r="B1146" s="42"/>
      <c r="C1146" s="42"/>
      <c r="D1146" s="42"/>
      <c r="E1146" s="44"/>
      <c r="F1146" s="43"/>
      <c r="G1146" s="19"/>
    </row>
    <row r="1147" spans="1:7">
      <c r="A1147" s="41"/>
      <c r="B1147" s="42"/>
      <c r="C1147" s="42"/>
      <c r="D1147" s="42"/>
      <c r="E1147" s="44"/>
      <c r="F1147" s="43"/>
      <c r="G1147" s="19"/>
    </row>
    <row r="1148" spans="1:7">
      <c r="A1148" s="41"/>
      <c r="B1148" s="42"/>
      <c r="C1148" s="42"/>
      <c r="D1148" s="42"/>
      <c r="E1148" s="44"/>
      <c r="F1148" s="43"/>
      <c r="G1148" s="19"/>
    </row>
    <row r="1149" spans="1:7">
      <c r="A1149" s="41"/>
      <c r="B1149" s="42"/>
      <c r="C1149" s="42"/>
      <c r="D1149" s="42"/>
      <c r="E1149" s="44"/>
      <c r="F1149" s="43"/>
      <c r="G1149" s="19"/>
    </row>
    <row r="1150" spans="1:7">
      <c r="A1150" s="41"/>
      <c r="B1150" s="42"/>
      <c r="C1150" s="42"/>
      <c r="D1150" s="42"/>
      <c r="E1150" s="44"/>
      <c r="F1150" s="43"/>
      <c r="G1150" s="19"/>
    </row>
    <row r="1151" spans="1:7">
      <c r="A1151" s="41"/>
      <c r="B1151" s="42"/>
      <c r="C1151" s="42"/>
      <c r="D1151" s="42"/>
      <c r="E1151" s="44"/>
      <c r="F1151" s="43"/>
      <c r="G1151" s="19"/>
    </row>
    <row r="1152" spans="1:7">
      <c r="A1152" s="41"/>
      <c r="B1152" s="42"/>
      <c r="C1152" s="42"/>
      <c r="D1152" s="42"/>
      <c r="E1152" s="44"/>
      <c r="F1152" s="43"/>
      <c r="G1152" s="19"/>
    </row>
    <row r="1153" spans="1:7">
      <c r="A1153" s="41"/>
      <c r="B1153" s="42"/>
      <c r="C1153" s="42"/>
      <c r="D1153" s="42"/>
      <c r="E1153" s="44"/>
      <c r="F1153" s="43"/>
      <c r="G1153" s="19"/>
    </row>
    <row r="1154" spans="1:7">
      <c r="A1154" s="41"/>
      <c r="B1154" s="42"/>
      <c r="C1154" s="42"/>
      <c r="D1154" s="42"/>
      <c r="E1154" s="44"/>
      <c r="F1154" s="43"/>
      <c r="G1154" s="19"/>
    </row>
    <row r="1155" spans="1:7">
      <c r="A1155" s="41"/>
      <c r="B1155" s="42"/>
      <c r="C1155" s="42"/>
      <c r="D1155" s="42"/>
      <c r="E1155" s="44"/>
      <c r="F1155" s="43"/>
      <c r="G1155" s="19"/>
    </row>
    <row r="1156" spans="1:7">
      <c r="A1156" s="41"/>
      <c r="B1156" s="42"/>
      <c r="C1156" s="42"/>
      <c r="D1156" s="42"/>
      <c r="E1156" s="44"/>
      <c r="F1156" s="43"/>
      <c r="G1156" s="19"/>
    </row>
    <row r="1157" spans="1:7">
      <c r="A1157" s="41"/>
      <c r="B1157" s="42"/>
      <c r="C1157" s="42"/>
      <c r="D1157" s="42"/>
      <c r="E1157" s="44"/>
      <c r="F1157" s="43"/>
      <c r="G1157" s="19"/>
    </row>
    <row r="1158" spans="1:7">
      <c r="A1158" s="41"/>
      <c r="B1158" s="42"/>
      <c r="C1158" s="42"/>
      <c r="D1158" s="42"/>
      <c r="E1158" s="44"/>
      <c r="F1158" s="43"/>
      <c r="G1158" s="19"/>
    </row>
    <row r="1159" spans="1:7">
      <c r="A1159" s="41"/>
      <c r="B1159" s="42"/>
      <c r="C1159" s="42"/>
      <c r="D1159" s="42"/>
      <c r="E1159" s="44"/>
      <c r="F1159" s="43"/>
      <c r="G1159" s="19"/>
    </row>
    <row r="1160" spans="1:7">
      <c r="A1160" s="41"/>
      <c r="B1160" s="42"/>
      <c r="C1160" s="42"/>
      <c r="D1160" s="42"/>
      <c r="E1160" s="44"/>
      <c r="F1160" s="43"/>
      <c r="G1160" s="19"/>
    </row>
    <row r="1161" spans="1:7">
      <c r="A1161" s="41"/>
      <c r="B1161" s="42"/>
      <c r="C1161" s="42"/>
      <c r="D1161" s="42"/>
      <c r="E1161" s="44"/>
      <c r="F1161" s="43"/>
      <c r="G1161" s="19"/>
    </row>
    <row r="1162" spans="1:7">
      <c r="A1162" s="41"/>
      <c r="B1162" s="42"/>
      <c r="C1162" s="42"/>
      <c r="D1162" s="42"/>
      <c r="E1162" s="44"/>
      <c r="F1162" s="43"/>
      <c r="G1162" s="19"/>
    </row>
    <row r="1163" spans="1:7">
      <c r="A1163" s="41"/>
      <c r="B1163" s="42"/>
      <c r="C1163" s="42"/>
      <c r="D1163" s="42"/>
      <c r="E1163" s="44"/>
      <c r="F1163" s="43"/>
      <c r="G1163" s="19"/>
    </row>
    <row r="1164" spans="1:7">
      <c r="A1164" s="41"/>
      <c r="B1164" s="42"/>
      <c r="C1164" s="42"/>
      <c r="D1164" s="42"/>
      <c r="E1164" s="44"/>
      <c r="F1164" s="43"/>
      <c r="G1164" s="19"/>
    </row>
    <row r="1165" spans="1:7">
      <c r="A1165" s="41"/>
      <c r="B1165" s="42"/>
      <c r="C1165" s="42"/>
      <c r="D1165" s="42"/>
      <c r="E1165" s="44"/>
      <c r="F1165" s="43"/>
      <c r="G1165" s="19"/>
    </row>
    <row r="1166" spans="1:7">
      <c r="A1166" s="41"/>
      <c r="B1166" s="42"/>
      <c r="C1166" s="42"/>
      <c r="D1166" s="42"/>
      <c r="E1166" s="44"/>
      <c r="F1166" s="43"/>
      <c r="G1166" s="19"/>
    </row>
    <row r="1167" spans="1:7">
      <c r="A1167" s="41"/>
      <c r="B1167" s="42"/>
      <c r="C1167" s="42"/>
      <c r="D1167" s="42"/>
      <c r="E1167" s="44"/>
      <c r="F1167" s="43"/>
      <c r="G1167" s="19"/>
    </row>
    <row r="1168" spans="1:7">
      <c r="A1168" s="41"/>
      <c r="B1168" s="42"/>
      <c r="C1168" s="42"/>
      <c r="D1168" s="42"/>
      <c r="E1168" s="44"/>
      <c r="F1168" s="43"/>
      <c r="G1168" s="19"/>
    </row>
    <row r="1169" spans="1:7">
      <c r="A1169" s="41"/>
      <c r="B1169" s="42"/>
      <c r="C1169" s="42"/>
      <c r="D1169" s="42"/>
      <c r="E1169" s="44"/>
      <c r="F1169" s="43"/>
      <c r="G1169" s="19"/>
    </row>
    <row r="1170" spans="1:7">
      <c r="A1170" s="41"/>
      <c r="B1170" s="42"/>
      <c r="C1170" s="42"/>
      <c r="D1170" s="42"/>
      <c r="E1170" s="44"/>
      <c r="F1170" s="43"/>
      <c r="G1170" s="19"/>
    </row>
    <row r="1171" spans="1:7">
      <c r="A1171" s="41"/>
      <c r="B1171" s="42"/>
      <c r="C1171" s="42"/>
      <c r="D1171" s="42"/>
      <c r="E1171" s="44"/>
      <c r="F1171" s="43"/>
      <c r="G1171" s="19"/>
    </row>
    <row r="1172" spans="1:7">
      <c r="A1172" s="41"/>
      <c r="B1172" s="42"/>
      <c r="C1172" s="42"/>
      <c r="D1172" s="42"/>
      <c r="E1172" s="44"/>
      <c r="F1172" s="43"/>
      <c r="G1172" s="19"/>
    </row>
    <row r="1173" spans="1:7">
      <c r="A1173" s="41"/>
      <c r="B1173" s="42"/>
      <c r="C1173" s="42"/>
      <c r="D1173" s="42"/>
      <c r="E1173" s="44"/>
      <c r="F1173" s="43"/>
      <c r="G1173" s="19"/>
    </row>
    <row r="1174" spans="1:7">
      <c r="A1174" s="41"/>
      <c r="B1174" s="42"/>
      <c r="C1174" s="42"/>
      <c r="D1174" s="42"/>
      <c r="E1174" s="45"/>
      <c r="F1174" s="43"/>
      <c r="G1174" s="19"/>
    </row>
    <row r="1175" spans="1:7">
      <c r="A1175" s="41"/>
      <c r="B1175" s="42"/>
      <c r="C1175" s="42"/>
      <c r="D1175" s="42"/>
      <c r="E1175" s="45"/>
      <c r="F1175" s="43"/>
      <c r="G1175" s="19"/>
    </row>
    <row r="1176" spans="1:7">
      <c r="A1176" s="41"/>
      <c r="B1176" s="42"/>
      <c r="C1176" s="42"/>
      <c r="D1176" s="42"/>
      <c r="E1176" s="45"/>
      <c r="F1176" s="43"/>
      <c r="G1176" s="19"/>
    </row>
    <row r="1177" spans="1:7">
      <c r="A1177" s="41"/>
      <c r="B1177" s="42"/>
      <c r="C1177" s="42"/>
      <c r="D1177" s="42"/>
      <c r="E1177" s="45"/>
      <c r="F1177" s="43"/>
      <c r="G1177" s="19"/>
    </row>
    <row r="1178" spans="1:7">
      <c r="A1178" s="41"/>
      <c r="B1178" s="42"/>
      <c r="C1178" s="42"/>
      <c r="D1178" s="42"/>
      <c r="E1178" s="45"/>
      <c r="F1178" s="43"/>
      <c r="G1178" s="19"/>
    </row>
    <row r="1179" spans="1:7">
      <c r="A1179" s="41"/>
      <c r="B1179" s="42"/>
      <c r="C1179" s="42"/>
      <c r="D1179" s="42"/>
      <c r="E1179" s="45"/>
      <c r="F1179" s="43"/>
      <c r="G1179" s="19"/>
    </row>
    <row r="1180" spans="1:7">
      <c r="A1180" s="41"/>
      <c r="B1180" s="42"/>
      <c r="C1180" s="42"/>
      <c r="D1180" s="42"/>
      <c r="E1180" s="45"/>
      <c r="F1180" s="43"/>
      <c r="G1180" s="19"/>
    </row>
    <row r="1181" spans="1:7">
      <c r="A1181" s="41"/>
      <c r="B1181" s="42"/>
      <c r="C1181" s="42"/>
      <c r="D1181" s="42"/>
      <c r="E1181" s="45"/>
      <c r="F1181" s="43"/>
      <c r="G1181" s="19"/>
    </row>
    <row r="1182" spans="1:7">
      <c r="A1182" s="41"/>
      <c r="B1182" s="42"/>
      <c r="C1182" s="42"/>
      <c r="D1182" s="42"/>
      <c r="E1182" s="45"/>
      <c r="F1182" s="43"/>
      <c r="G1182" s="19"/>
    </row>
    <row r="1183" spans="1:7">
      <c r="A1183" s="41"/>
      <c r="B1183" s="42"/>
      <c r="C1183" s="42"/>
      <c r="D1183" s="42"/>
      <c r="E1183" s="45"/>
      <c r="F1183" s="43"/>
      <c r="G1183" s="19"/>
    </row>
    <row r="1184" spans="1:7">
      <c r="A1184" s="41"/>
      <c r="B1184" s="42"/>
      <c r="C1184" s="42"/>
      <c r="D1184" s="42"/>
      <c r="E1184" s="45"/>
      <c r="F1184" s="43"/>
      <c r="G1184" s="19"/>
    </row>
    <row r="1185" spans="1:7">
      <c r="A1185" s="41"/>
      <c r="B1185" s="42"/>
      <c r="C1185" s="42"/>
      <c r="D1185" s="42"/>
      <c r="E1185" s="45"/>
      <c r="F1185" s="43"/>
      <c r="G1185" s="19"/>
    </row>
    <row r="1186" spans="1:7">
      <c r="A1186" s="41"/>
      <c r="B1186" s="42"/>
      <c r="C1186" s="42"/>
      <c r="D1186" s="42"/>
      <c r="E1186" s="45"/>
      <c r="F1186" s="43"/>
      <c r="G1186" s="19"/>
    </row>
    <row r="1187" spans="1:7">
      <c r="A1187" s="41"/>
      <c r="B1187" s="42"/>
      <c r="C1187" s="42"/>
      <c r="D1187" s="42"/>
      <c r="E1187" s="45"/>
      <c r="F1187" s="43"/>
      <c r="G1187" s="19"/>
    </row>
    <row r="1188" spans="1:7">
      <c r="A1188" s="41"/>
      <c r="B1188" s="42"/>
      <c r="C1188" s="42"/>
      <c r="D1188" s="42"/>
      <c r="E1188" s="45"/>
      <c r="F1188" s="43"/>
      <c r="G1188" s="19"/>
    </row>
    <row r="1189" spans="1:7">
      <c r="A1189" s="41"/>
      <c r="B1189" s="42"/>
      <c r="C1189" s="42"/>
      <c r="D1189" s="42"/>
      <c r="E1189" s="45"/>
      <c r="F1189" s="43"/>
      <c r="G1189" s="19"/>
    </row>
    <row r="1190" spans="1:7">
      <c r="A1190" s="41"/>
      <c r="B1190" s="42"/>
      <c r="C1190" s="42"/>
      <c r="D1190" s="42"/>
      <c r="E1190" s="45"/>
      <c r="F1190" s="43"/>
      <c r="G1190" s="19"/>
    </row>
    <row r="1191" spans="1:7">
      <c r="A1191" s="41"/>
      <c r="B1191" s="42"/>
      <c r="C1191" s="42"/>
      <c r="D1191" s="42"/>
      <c r="E1191" s="45"/>
      <c r="F1191" s="43"/>
      <c r="G1191" s="19"/>
    </row>
    <row r="1192" spans="1:7">
      <c r="A1192" s="41"/>
      <c r="B1192" s="42"/>
      <c r="C1192" s="42"/>
      <c r="D1192" s="42"/>
      <c r="E1192" s="45"/>
      <c r="F1192" s="43"/>
      <c r="G1192" s="19"/>
    </row>
    <row r="1193" spans="1:7">
      <c r="A1193" s="41"/>
      <c r="B1193" s="42"/>
      <c r="C1193" s="42"/>
      <c r="D1193" s="42"/>
      <c r="E1193" s="45"/>
      <c r="F1193" s="43"/>
      <c r="G1193" s="19"/>
    </row>
    <row r="1194" spans="1:7">
      <c r="A1194" s="41"/>
      <c r="B1194" s="42"/>
      <c r="C1194" s="42"/>
      <c r="D1194" s="42"/>
      <c r="E1194" s="45"/>
      <c r="F1194" s="43"/>
      <c r="G1194" s="19"/>
    </row>
    <row r="1195" spans="1:7">
      <c r="A1195" s="41"/>
      <c r="B1195" s="42"/>
      <c r="C1195" s="42"/>
      <c r="D1195" s="42"/>
      <c r="E1195" s="45"/>
      <c r="F1195" s="43"/>
      <c r="G1195" s="19"/>
    </row>
    <row r="1196" spans="1:7">
      <c r="A1196" s="41"/>
      <c r="B1196" s="42"/>
      <c r="C1196" s="42"/>
      <c r="D1196" s="42"/>
      <c r="E1196" s="45"/>
      <c r="F1196" s="43"/>
      <c r="G1196" s="19"/>
    </row>
    <row r="1197" spans="1:7">
      <c r="A1197" s="41"/>
      <c r="B1197" s="42"/>
      <c r="C1197" s="42"/>
      <c r="D1197" s="42"/>
      <c r="E1197" s="45"/>
      <c r="F1197" s="43"/>
      <c r="G1197" s="19"/>
    </row>
    <row r="1198" spans="1:7">
      <c r="A1198" s="41"/>
      <c r="B1198" s="42"/>
      <c r="C1198" s="42"/>
      <c r="D1198" s="42"/>
      <c r="E1198" s="45"/>
      <c r="F1198" s="43"/>
      <c r="G1198" s="19"/>
    </row>
    <row r="1199" spans="1:7">
      <c r="A1199" s="41"/>
      <c r="B1199" s="42"/>
      <c r="C1199" s="42"/>
      <c r="D1199" s="42"/>
      <c r="E1199" s="45"/>
      <c r="F1199" s="43"/>
      <c r="G1199" s="19"/>
    </row>
    <row r="1200" spans="1:7">
      <c r="A1200" s="41"/>
      <c r="B1200" s="42"/>
      <c r="C1200" s="42"/>
      <c r="D1200" s="42"/>
      <c r="E1200" s="45"/>
      <c r="F1200" s="43"/>
      <c r="G1200" s="19"/>
    </row>
    <row r="1201" spans="1:7">
      <c r="A1201" s="41"/>
      <c r="B1201" s="42"/>
      <c r="C1201" s="42"/>
      <c r="D1201" s="42"/>
      <c r="E1201" s="45"/>
      <c r="F1201" s="43"/>
      <c r="G1201" s="19"/>
    </row>
    <row r="1202" spans="1:7">
      <c r="A1202" s="41"/>
      <c r="B1202" s="42"/>
      <c r="C1202" s="42"/>
      <c r="D1202" s="42"/>
      <c r="E1202" s="45"/>
      <c r="F1202" s="43"/>
      <c r="G1202" s="19"/>
    </row>
    <row r="1203" spans="1:7">
      <c r="A1203" s="41"/>
      <c r="B1203" s="42"/>
      <c r="C1203" s="42"/>
      <c r="D1203" s="42"/>
      <c r="E1203" s="45"/>
      <c r="F1203" s="43"/>
      <c r="G1203" s="19"/>
    </row>
    <row r="1204" spans="1:7">
      <c r="A1204" s="41"/>
      <c r="B1204" s="42"/>
      <c r="C1204" s="42"/>
      <c r="D1204" s="42"/>
      <c r="E1204" s="45"/>
      <c r="F1204" s="43"/>
      <c r="G1204" s="19"/>
    </row>
    <row r="1205" spans="1:7">
      <c r="A1205" s="41"/>
      <c r="B1205" s="42"/>
      <c r="C1205" s="42"/>
      <c r="D1205" s="42"/>
      <c r="E1205" s="45"/>
      <c r="F1205" s="43"/>
      <c r="G1205" s="19"/>
    </row>
    <row r="1206" spans="1:7">
      <c r="A1206" s="41"/>
      <c r="B1206" s="42"/>
      <c r="C1206" s="42"/>
      <c r="D1206" s="42"/>
      <c r="E1206" s="45"/>
      <c r="F1206" s="43"/>
      <c r="G1206" s="19"/>
    </row>
    <row r="1207" spans="1:7">
      <c r="A1207" s="41"/>
      <c r="B1207" s="42"/>
      <c r="C1207" s="42"/>
      <c r="D1207" s="42"/>
      <c r="E1207" s="45"/>
      <c r="F1207" s="43"/>
      <c r="G1207" s="19"/>
    </row>
    <row r="1208" spans="1:7">
      <c r="A1208" s="41"/>
      <c r="B1208" s="42"/>
      <c r="C1208" s="42"/>
      <c r="D1208" s="42"/>
      <c r="E1208" s="45"/>
      <c r="F1208" s="43"/>
      <c r="G1208" s="19"/>
    </row>
    <row r="1209" spans="1:7">
      <c r="A1209" s="41"/>
      <c r="B1209" s="42"/>
      <c r="C1209" s="42"/>
      <c r="D1209" s="42"/>
      <c r="E1209" s="45"/>
      <c r="F1209" s="43"/>
      <c r="G1209" s="19"/>
    </row>
    <row r="1210" spans="1:7">
      <c r="A1210" s="41"/>
      <c r="B1210" s="42"/>
      <c r="C1210" s="42"/>
      <c r="D1210" s="42"/>
      <c r="E1210" s="45"/>
      <c r="F1210" s="43"/>
      <c r="G1210" s="19"/>
    </row>
    <row r="1211" spans="1:7">
      <c r="A1211" s="41"/>
      <c r="B1211" s="42"/>
      <c r="C1211" s="42"/>
      <c r="D1211" s="42"/>
      <c r="E1211" s="45"/>
      <c r="F1211" s="43"/>
      <c r="G1211" s="19"/>
    </row>
    <row r="1212" spans="1:7">
      <c r="A1212" s="41"/>
      <c r="B1212" s="42"/>
      <c r="C1212" s="42"/>
      <c r="D1212" s="42"/>
      <c r="E1212" s="45"/>
      <c r="F1212" s="43"/>
      <c r="G1212" s="19"/>
    </row>
    <row r="1213" spans="1:7">
      <c r="A1213" s="41"/>
      <c r="B1213" s="42"/>
      <c r="C1213" s="42"/>
      <c r="D1213" s="42"/>
      <c r="E1213" s="45"/>
      <c r="F1213" s="43"/>
      <c r="G1213" s="19"/>
    </row>
    <row r="1214" spans="1:7">
      <c r="A1214" s="41"/>
      <c r="B1214" s="42"/>
      <c r="C1214" s="42"/>
      <c r="D1214" s="42"/>
      <c r="E1214" s="45"/>
      <c r="F1214" s="43"/>
      <c r="G1214" s="19"/>
    </row>
    <row r="1215" spans="1:7">
      <c r="A1215" s="41"/>
      <c r="B1215" s="42"/>
      <c r="C1215" s="42"/>
      <c r="D1215" s="42"/>
      <c r="E1215" s="45"/>
      <c r="F1215" s="43"/>
      <c r="G1215" s="19"/>
    </row>
    <row r="1216" spans="1:7">
      <c r="A1216" s="41"/>
      <c r="B1216" s="42"/>
      <c r="C1216" s="42"/>
      <c r="D1216" s="42"/>
      <c r="E1216" s="45"/>
      <c r="F1216" s="43"/>
      <c r="G1216" s="19"/>
    </row>
    <row r="1217" spans="1:7">
      <c r="A1217" s="41"/>
      <c r="B1217" s="42"/>
      <c r="C1217" s="42"/>
      <c r="D1217" s="42"/>
      <c r="E1217" s="45"/>
      <c r="F1217" s="43"/>
      <c r="G1217" s="19"/>
    </row>
    <row r="1218" spans="1:7">
      <c r="A1218" s="41"/>
      <c r="B1218" s="42"/>
      <c r="C1218" s="42"/>
      <c r="D1218" s="42"/>
      <c r="E1218" s="45"/>
      <c r="F1218" s="43"/>
      <c r="G1218" s="19"/>
    </row>
    <row r="1219" spans="1:7">
      <c r="A1219" s="41"/>
      <c r="B1219" s="42"/>
      <c r="C1219" s="42"/>
      <c r="D1219" s="42"/>
      <c r="E1219" s="45"/>
      <c r="F1219" s="43"/>
      <c r="G1219" s="19"/>
    </row>
    <row r="1220" spans="1:7">
      <c r="A1220" s="41"/>
      <c r="B1220" s="42"/>
      <c r="C1220" s="42"/>
      <c r="D1220" s="42"/>
      <c r="E1220" s="45"/>
      <c r="F1220" s="43"/>
      <c r="G1220" s="19"/>
    </row>
    <row r="1221" spans="1:7">
      <c r="A1221" s="41"/>
      <c r="B1221" s="42"/>
      <c r="C1221" s="42"/>
      <c r="D1221" s="42"/>
      <c r="E1221" s="45"/>
      <c r="F1221" s="43"/>
      <c r="G1221" s="19"/>
    </row>
    <row r="1222" spans="1:7">
      <c r="A1222" s="46"/>
      <c r="B1222" s="19"/>
      <c r="C1222" s="19"/>
      <c r="D1222" s="19"/>
      <c r="E1222" s="45"/>
      <c r="F1222" s="43"/>
      <c r="G1222" s="19"/>
    </row>
    <row r="1223" spans="1:7">
      <c r="A1223" s="46"/>
      <c r="B1223" s="19"/>
      <c r="C1223" s="19"/>
      <c r="D1223" s="19"/>
      <c r="E1223" s="45"/>
      <c r="F1223" s="43"/>
      <c r="G1223" s="19"/>
    </row>
    <row r="1224" spans="1:7">
      <c r="A1224" s="46"/>
      <c r="B1224" s="19"/>
      <c r="C1224" s="19"/>
      <c r="D1224" s="19"/>
      <c r="E1224" s="45"/>
      <c r="F1224" s="43"/>
      <c r="G1224" s="19"/>
    </row>
    <row r="1225" spans="1:7">
      <c r="A1225" s="46"/>
      <c r="B1225" s="19"/>
      <c r="C1225" s="19"/>
      <c r="D1225" s="19"/>
      <c r="E1225" s="45"/>
      <c r="F1225" s="43"/>
      <c r="G1225" s="19"/>
    </row>
    <row r="1226" spans="1:7">
      <c r="A1226" s="46"/>
      <c r="B1226" s="19"/>
      <c r="C1226" s="19"/>
      <c r="D1226" s="19"/>
      <c r="E1226" s="45"/>
      <c r="F1226" s="43"/>
      <c r="G1226" s="19"/>
    </row>
    <row r="1227" spans="1:7">
      <c r="A1227" s="46"/>
      <c r="B1227" s="19"/>
      <c r="C1227" s="19"/>
      <c r="D1227" s="19"/>
      <c r="E1227" s="45"/>
      <c r="F1227" s="43"/>
      <c r="G1227" s="19"/>
    </row>
    <row r="1228" spans="1:7">
      <c r="A1228" s="46"/>
      <c r="B1228" s="19"/>
      <c r="C1228" s="19"/>
      <c r="D1228" s="19"/>
      <c r="E1228" s="45"/>
      <c r="F1228" s="43"/>
      <c r="G1228" s="19"/>
    </row>
    <row r="1229" spans="1:7">
      <c r="A1229" s="46"/>
      <c r="B1229" s="19"/>
      <c r="C1229" s="19"/>
      <c r="D1229" s="19"/>
      <c r="E1229" s="45"/>
      <c r="F1229" s="43"/>
      <c r="G1229" s="19"/>
    </row>
    <row r="1230" spans="1:7">
      <c r="A1230" s="46"/>
      <c r="B1230" s="19"/>
      <c r="C1230" s="19"/>
      <c r="D1230" s="19"/>
      <c r="E1230" s="45"/>
      <c r="F1230" s="43"/>
      <c r="G1230" s="19"/>
    </row>
    <row r="1231" spans="1:7">
      <c r="A1231" s="46"/>
      <c r="B1231" s="19"/>
      <c r="C1231" s="19"/>
      <c r="D1231" s="19"/>
      <c r="E1231" s="45"/>
      <c r="F1231" s="43"/>
      <c r="G1231" s="19"/>
    </row>
    <row r="1232" spans="1:7">
      <c r="A1232" s="46"/>
      <c r="B1232" s="19"/>
      <c r="C1232" s="19"/>
      <c r="D1232" s="19"/>
      <c r="E1232" s="45"/>
      <c r="F1232" s="43"/>
      <c r="G1232" s="19"/>
    </row>
    <row r="1233" spans="1:7">
      <c r="A1233" s="46"/>
      <c r="B1233" s="19"/>
      <c r="C1233" s="19"/>
      <c r="D1233" s="19"/>
      <c r="E1233" s="19"/>
      <c r="F1233" s="43"/>
      <c r="G1233" s="19"/>
    </row>
    <row r="1234" spans="1:7">
      <c r="A1234" s="46"/>
      <c r="B1234" s="19"/>
      <c r="C1234" s="19"/>
      <c r="D1234" s="19"/>
      <c r="E1234" s="19"/>
      <c r="F1234" s="43"/>
      <c r="G1234" s="19"/>
    </row>
    <row r="1235" spans="1:7">
      <c r="A1235" s="46"/>
      <c r="B1235" s="19"/>
      <c r="C1235" s="19"/>
      <c r="D1235" s="19"/>
      <c r="E1235" s="19"/>
      <c r="F1235" s="43"/>
      <c r="G1235" s="19"/>
    </row>
    <row r="1236" spans="1:7">
      <c r="A1236" s="46"/>
      <c r="B1236" s="19"/>
      <c r="C1236" s="19"/>
      <c r="D1236" s="19"/>
      <c r="E1236" s="19"/>
      <c r="F1236" s="43"/>
      <c r="G1236" s="19"/>
    </row>
    <row r="1237" spans="1:7">
      <c r="A1237" s="46"/>
      <c r="B1237" s="19"/>
      <c r="C1237" s="19"/>
      <c r="D1237" s="19"/>
      <c r="E1237" s="19"/>
      <c r="F1237" s="43"/>
      <c r="G1237" s="19"/>
    </row>
    <row r="1238" spans="1:7">
      <c r="A1238" s="46"/>
      <c r="B1238" s="19"/>
      <c r="C1238" s="19"/>
      <c r="D1238" s="19"/>
      <c r="E1238" s="19"/>
      <c r="F1238" s="43"/>
      <c r="G1238" s="19"/>
    </row>
    <row r="1239" spans="1:7">
      <c r="A1239" s="46"/>
      <c r="B1239" s="19"/>
      <c r="C1239" s="19"/>
      <c r="D1239" s="19"/>
      <c r="E1239" s="19"/>
      <c r="F1239" s="43"/>
      <c r="G1239" s="19"/>
    </row>
    <row r="1240" spans="1:7">
      <c r="A1240" s="46"/>
      <c r="B1240" s="19"/>
      <c r="C1240" s="19"/>
      <c r="D1240" s="19"/>
      <c r="E1240" s="19"/>
      <c r="F1240" s="43"/>
      <c r="G1240" s="19"/>
    </row>
    <row r="1241" spans="1:7">
      <c r="A1241" s="46"/>
      <c r="B1241" s="19"/>
      <c r="C1241" s="19"/>
      <c r="D1241" s="19"/>
      <c r="E1241" s="19"/>
      <c r="F1241" s="43"/>
      <c r="G1241" s="19"/>
    </row>
    <row r="1242" spans="1:7">
      <c r="A1242" s="46"/>
      <c r="B1242" s="19"/>
      <c r="C1242" s="19"/>
      <c r="D1242" s="19"/>
      <c r="E1242" s="19"/>
      <c r="F1242" s="43"/>
      <c r="G1242" s="19"/>
    </row>
    <row r="1243" spans="1:7">
      <c r="A1243" s="46"/>
      <c r="B1243" s="19"/>
      <c r="C1243" s="19"/>
      <c r="D1243" s="19"/>
      <c r="E1243" s="19"/>
      <c r="F1243" s="43"/>
      <c r="G1243" s="19"/>
    </row>
    <row r="1244" spans="1:7">
      <c r="A1244" s="46"/>
      <c r="B1244" s="19"/>
      <c r="C1244" s="19"/>
      <c r="D1244" s="19"/>
      <c r="E1244" s="19"/>
      <c r="F1244" s="43"/>
      <c r="G1244" s="19"/>
    </row>
    <row r="1245" spans="1:7">
      <c r="A1245" s="46"/>
      <c r="B1245" s="19"/>
      <c r="C1245" s="19"/>
      <c r="D1245" s="19"/>
      <c r="E1245" s="19"/>
      <c r="F1245" s="43"/>
      <c r="G1245" s="19"/>
    </row>
    <row r="1246" spans="1:7">
      <c r="A1246" s="46"/>
      <c r="B1246" s="19"/>
      <c r="C1246" s="19"/>
      <c r="D1246" s="19"/>
      <c r="E1246" s="19"/>
      <c r="F1246" s="43"/>
      <c r="G1246" s="19"/>
    </row>
    <row r="1247" spans="1:7">
      <c r="A1247" s="46"/>
      <c r="B1247" s="19"/>
      <c r="C1247" s="19"/>
      <c r="D1247" s="19"/>
      <c r="E1247" s="19"/>
      <c r="F1247" s="43"/>
      <c r="G1247" s="19"/>
    </row>
    <row r="1248" spans="1:7">
      <c r="A1248" s="46"/>
      <c r="B1248" s="19"/>
      <c r="C1248" s="19"/>
      <c r="D1248" s="19"/>
      <c r="E1248" s="19"/>
      <c r="F1248" s="43"/>
      <c r="G1248" s="19"/>
    </row>
    <row r="1249" spans="1:7">
      <c r="A1249" s="46"/>
      <c r="B1249" s="19"/>
      <c r="C1249" s="19"/>
      <c r="D1249" s="19"/>
      <c r="E1249" s="19"/>
      <c r="F1249" s="43"/>
      <c r="G1249" s="19"/>
    </row>
    <row r="1250" spans="1:7">
      <c r="A1250" s="46"/>
      <c r="B1250" s="19"/>
      <c r="C1250" s="19"/>
      <c r="D1250" s="19"/>
      <c r="E1250" s="19"/>
      <c r="F1250" s="43"/>
      <c r="G1250" s="19"/>
    </row>
    <row r="1251" spans="1:7">
      <c r="A1251" s="46"/>
      <c r="B1251" s="19"/>
      <c r="C1251" s="19"/>
      <c r="D1251" s="19"/>
      <c r="E1251" s="19"/>
      <c r="F1251" s="43"/>
      <c r="G1251" s="19"/>
    </row>
    <row r="1252" spans="1:7">
      <c r="A1252" s="46"/>
      <c r="B1252" s="19"/>
      <c r="C1252" s="19"/>
      <c r="D1252" s="19"/>
      <c r="E1252" s="19"/>
      <c r="F1252" s="43"/>
      <c r="G1252" s="19"/>
    </row>
    <row r="1253" spans="1:7">
      <c r="A1253" s="46"/>
      <c r="B1253" s="19"/>
      <c r="C1253" s="19"/>
      <c r="D1253" s="19"/>
      <c r="E1253" s="19"/>
      <c r="F1253" s="43"/>
      <c r="G1253" s="19"/>
    </row>
    <row r="1254" spans="1:7">
      <c r="A1254" s="46"/>
      <c r="B1254" s="19"/>
      <c r="C1254" s="19"/>
      <c r="D1254" s="19"/>
      <c r="E1254" s="19"/>
      <c r="F1254" s="43"/>
      <c r="G1254" s="19"/>
    </row>
    <row r="1255" spans="1:7">
      <c r="A1255" s="46"/>
      <c r="B1255" s="19"/>
      <c r="C1255" s="19"/>
      <c r="D1255" s="19"/>
      <c r="E1255" s="19"/>
      <c r="F1255" s="43"/>
      <c r="G1255" s="19"/>
    </row>
    <row r="1256" spans="1:7">
      <c r="A1256" s="46"/>
      <c r="B1256" s="19"/>
      <c r="C1256" s="19"/>
      <c r="D1256" s="19"/>
      <c r="E1256" s="19"/>
      <c r="F1256" s="43"/>
      <c r="G1256" s="19"/>
    </row>
    <row r="1257" spans="1:7">
      <c r="A1257" s="46"/>
      <c r="B1257" s="19"/>
      <c r="C1257" s="19"/>
      <c r="D1257" s="19"/>
      <c r="E1257" s="19"/>
      <c r="F1257" s="43"/>
      <c r="G1257" s="19"/>
    </row>
    <row r="1258" spans="1:7">
      <c r="A1258" s="46"/>
      <c r="B1258" s="19"/>
      <c r="C1258" s="19"/>
      <c r="D1258" s="19"/>
      <c r="E1258" s="19"/>
      <c r="F1258" s="43"/>
      <c r="G1258" s="19"/>
    </row>
    <row r="1259" spans="1:7">
      <c r="A1259" s="46"/>
      <c r="B1259" s="19"/>
      <c r="C1259" s="19"/>
      <c r="D1259" s="19"/>
      <c r="E1259" s="19"/>
      <c r="F1259" s="43"/>
      <c r="G1259" s="19"/>
    </row>
    <row r="1260" spans="1:7">
      <c r="A1260" s="46"/>
      <c r="B1260" s="19"/>
      <c r="C1260" s="19"/>
      <c r="D1260" s="19"/>
      <c r="E1260" s="19"/>
      <c r="F1260" s="43"/>
      <c r="G1260" s="19"/>
    </row>
    <row r="1261" spans="1:7">
      <c r="A1261" s="46"/>
      <c r="B1261" s="19"/>
      <c r="C1261" s="19"/>
      <c r="D1261" s="19"/>
      <c r="E1261" s="19"/>
      <c r="F1261" s="43"/>
      <c r="G1261" s="19"/>
    </row>
    <row r="1262" spans="1:7">
      <c r="A1262" s="46"/>
      <c r="B1262" s="19"/>
      <c r="C1262" s="19"/>
      <c r="D1262" s="19"/>
      <c r="E1262" s="19"/>
      <c r="F1262" s="43"/>
      <c r="G1262" s="19"/>
    </row>
    <row r="1263" spans="1:7">
      <c r="A1263" s="46"/>
      <c r="B1263" s="19"/>
      <c r="C1263" s="19"/>
      <c r="D1263" s="19"/>
      <c r="E1263" s="19"/>
      <c r="F1263" s="43"/>
      <c r="G1263" s="19"/>
    </row>
    <row r="1264" spans="1:7">
      <c r="A1264" s="46"/>
      <c r="B1264" s="19"/>
      <c r="C1264" s="19"/>
      <c r="D1264" s="19"/>
      <c r="E1264" s="19"/>
      <c r="F1264" s="43"/>
      <c r="G1264" s="19"/>
    </row>
    <row r="1265" spans="1:7">
      <c r="A1265" s="46"/>
      <c r="B1265" s="19"/>
      <c r="C1265" s="19"/>
      <c r="D1265" s="19"/>
      <c r="E1265" s="19"/>
      <c r="F1265" s="43"/>
      <c r="G1265" s="19"/>
    </row>
    <row r="1266" spans="1:7">
      <c r="A1266" s="46"/>
      <c r="B1266" s="19"/>
      <c r="C1266" s="19"/>
      <c r="D1266" s="19"/>
      <c r="E1266" s="19"/>
      <c r="F1266" s="43"/>
      <c r="G1266" s="19"/>
    </row>
    <row r="1267" spans="1:7">
      <c r="A1267" s="46"/>
      <c r="B1267" s="19"/>
      <c r="C1267" s="19"/>
      <c r="D1267" s="19"/>
      <c r="E1267" s="19"/>
      <c r="F1267" s="43"/>
      <c r="G1267" s="19"/>
    </row>
    <row r="1268" spans="1:7">
      <c r="A1268" s="46"/>
      <c r="B1268" s="19"/>
      <c r="C1268" s="19"/>
      <c r="D1268" s="19"/>
      <c r="E1268" s="19"/>
      <c r="F1268" s="43"/>
      <c r="G1268" s="19"/>
    </row>
    <row r="1269" spans="1:7">
      <c r="A1269" s="46"/>
      <c r="B1269" s="19"/>
      <c r="C1269" s="19"/>
      <c r="D1269" s="19"/>
      <c r="E1269" s="19"/>
      <c r="F1269" s="43"/>
      <c r="G1269" s="19"/>
    </row>
    <row r="1270" spans="1:7">
      <c r="A1270" s="46"/>
      <c r="B1270" s="19"/>
      <c r="C1270" s="19"/>
      <c r="D1270" s="19"/>
      <c r="E1270" s="19"/>
      <c r="F1270" s="43"/>
      <c r="G1270" s="19"/>
    </row>
    <row r="1271" spans="1:7">
      <c r="A1271" s="46"/>
      <c r="B1271" s="19"/>
      <c r="C1271" s="19"/>
      <c r="D1271" s="19"/>
      <c r="E1271" s="19"/>
      <c r="F1271" s="43"/>
      <c r="G1271" s="19"/>
    </row>
    <row r="1272" spans="1:7">
      <c r="A1272" s="46"/>
      <c r="B1272" s="19"/>
      <c r="C1272" s="19"/>
      <c r="D1272" s="19"/>
      <c r="E1272" s="19"/>
      <c r="F1272" s="43"/>
      <c r="G1272" s="19"/>
    </row>
    <row r="1273" spans="1:7">
      <c r="A1273" s="46"/>
      <c r="B1273" s="19"/>
      <c r="C1273" s="19"/>
      <c r="D1273" s="19"/>
      <c r="E1273" s="19"/>
      <c r="F1273" s="43"/>
      <c r="G1273" s="19"/>
    </row>
    <row r="1274" spans="1:7">
      <c r="A1274" s="46"/>
      <c r="B1274" s="19"/>
      <c r="C1274" s="19"/>
      <c r="D1274" s="19"/>
      <c r="E1274" s="19"/>
      <c r="F1274" s="43"/>
      <c r="G1274" s="19"/>
    </row>
    <row r="1275" spans="1:7">
      <c r="A1275" s="46"/>
      <c r="B1275" s="19"/>
      <c r="C1275" s="19"/>
      <c r="D1275" s="19"/>
      <c r="E1275" s="19"/>
      <c r="F1275" s="43"/>
      <c r="G1275" s="19"/>
    </row>
    <row r="1276" spans="1:7">
      <c r="A1276" s="46"/>
      <c r="B1276" s="19"/>
      <c r="C1276" s="19"/>
      <c r="D1276" s="19"/>
      <c r="E1276" s="19"/>
      <c r="F1276" s="43"/>
      <c r="G1276" s="19"/>
    </row>
    <row r="1277" spans="1:7">
      <c r="A1277" s="46"/>
      <c r="B1277" s="19"/>
      <c r="C1277" s="19"/>
      <c r="D1277" s="19"/>
      <c r="E1277" s="19"/>
      <c r="F1277" s="43"/>
      <c r="G1277" s="19"/>
    </row>
    <row r="1278" spans="1:7">
      <c r="A1278" s="46"/>
      <c r="B1278" s="19"/>
      <c r="C1278" s="19"/>
      <c r="D1278" s="19"/>
      <c r="E1278" s="19"/>
      <c r="F1278" s="43"/>
      <c r="G1278" s="19"/>
    </row>
    <row r="1279" spans="1:7">
      <c r="A1279" s="46"/>
      <c r="B1279" s="19"/>
      <c r="C1279" s="19"/>
      <c r="D1279" s="19"/>
      <c r="E1279" s="19"/>
      <c r="F1279" s="43"/>
      <c r="G1279" s="19"/>
    </row>
    <row r="1280" spans="1:7">
      <c r="A1280" s="46"/>
      <c r="B1280" s="19"/>
      <c r="C1280" s="19"/>
      <c r="D1280" s="19"/>
      <c r="E1280" s="19"/>
      <c r="F1280" s="43"/>
      <c r="G1280" s="19"/>
    </row>
    <row r="1281" spans="1:7">
      <c r="A1281" s="46"/>
      <c r="B1281" s="19"/>
      <c r="C1281" s="19"/>
      <c r="D1281" s="19"/>
      <c r="E1281" s="19"/>
      <c r="F1281" s="43"/>
      <c r="G1281" s="19"/>
    </row>
    <row r="1282" spans="1:7">
      <c r="A1282" s="46"/>
      <c r="B1282" s="19"/>
      <c r="C1282" s="19"/>
      <c r="D1282" s="19"/>
      <c r="E1282" s="19"/>
      <c r="F1282" s="43"/>
      <c r="G1282" s="19"/>
    </row>
    <row r="1283" spans="1:7">
      <c r="A1283" s="46"/>
      <c r="B1283" s="19"/>
      <c r="C1283" s="19"/>
      <c r="D1283" s="19"/>
      <c r="E1283" s="19"/>
      <c r="F1283" s="43"/>
      <c r="G1283" s="19"/>
    </row>
    <row r="1284" spans="1:7">
      <c r="A1284" s="46"/>
      <c r="B1284" s="19"/>
      <c r="C1284" s="19"/>
      <c r="D1284" s="19"/>
      <c r="E1284" s="19"/>
      <c r="F1284" s="43"/>
      <c r="G1284" s="19"/>
    </row>
    <row r="1285" spans="1:7">
      <c r="A1285" s="46"/>
      <c r="B1285" s="19"/>
      <c r="C1285" s="19"/>
      <c r="D1285" s="19"/>
      <c r="E1285" s="19"/>
      <c r="F1285" s="43"/>
      <c r="G1285" s="19"/>
    </row>
    <row r="1286" spans="1:7">
      <c r="A1286" s="46"/>
      <c r="B1286" s="19"/>
      <c r="C1286" s="19"/>
      <c r="D1286" s="19"/>
      <c r="E1286" s="19"/>
      <c r="F1286" s="43"/>
      <c r="G1286" s="19"/>
    </row>
    <row r="1287" spans="1:7">
      <c r="A1287" s="46"/>
      <c r="B1287" s="19"/>
      <c r="C1287" s="19"/>
      <c r="D1287" s="19"/>
      <c r="E1287" s="19"/>
      <c r="F1287" s="43"/>
      <c r="G1287" s="19"/>
    </row>
    <row r="1288" spans="1:7">
      <c r="A1288" s="46"/>
      <c r="B1288" s="19"/>
      <c r="C1288" s="19"/>
      <c r="D1288" s="19"/>
      <c r="E1288" s="19"/>
      <c r="F1288" s="43"/>
      <c r="G1288" s="19"/>
    </row>
    <row r="1289" spans="1:7">
      <c r="A1289" s="46"/>
      <c r="B1289" s="19"/>
      <c r="C1289" s="19"/>
      <c r="D1289" s="19"/>
      <c r="E1289" s="19"/>
      <c r="F1289" s="43"/>
      <c r="G1289" s="19"/>
    </row>
    <row r="1290" spans="1:7">
      <c r="A1290" s="46"/>
      <c r="B1290" s="19"/>
      <c r="C1290" s="19"/>
      <c r="D1290" s="19"/>
      <c r="E1290" s="19"/>
      <c r="F1290" s="43"/>
      <c r="G1290" s="19"/>
    </row>
    <row r="1291" spans="1:7">
      <c r="A1291" s="46"/>
      <c r="B1291" s="19"/>
      <c r="C1291" s="19"/>
      <c r="D1291" s="19"/>
      <c r="E1291" s="19"/>
      <c r="F1291" s="43"/>
      <c r="G1291" s="19"/>
    </row>
    <row r="1292" spans="1:7">
      <c r="A1292" s="46"/>
      <c r="B1292" s="19"/>
      <c r="C1292" s="19"/>
      <c r="D1292" s="19"/>
      <c r="E1292" s="19"/>
      <c r="F1292" s="43"/>
      <c r="G1292" s="19"/>
    </row>
    <row r="1293" spans="1:7">
      <c r="A1293" s="46"/>
      <c r="B1293" s="19"/>
      <c r="C1293" s="19"/>
      <c r="D1293" s="19"/>
      <c r="E1293" s="19"/>
      <c r="F1293" s="43"/>
      <c r="G1293" s="19"/>
    </row>
    <row r="1294" spans="1:7">
      <c r="A1294" s="46"/>
      <c r="B1294" s="19"/>
      <c r="C1294" s="19"/>
      <c r="D1294" s="19"/>
      <c r="E1294" s="19"/>
      <c r="F1294" s="43"/>
      <c r="G1294" s="19"/>
    </row>
    <row r="1295" spans="1:7">
      <c r="A1295" s="46"/>
      <c r="B1295" s="19"/>
      <c r="C1295" s="19"/>
      <c r="D1295" s="19"/>
      <c r="E1295" s="19"/>
      <c r="F1295" s="43"/>
      <c r="G1295" s="19"/>
    </row>
    <row r="1296" spans="1:7">
      <c r="A1296" s="46"/>
      <c r="B1296" s="19"/>
      <c r="C1296" s="19"/>
      <c r="D1296" s="19"/>
      <c r="E1296" s="19"/>
      <c r="F1296" s="43"/>
      <c r="G1296" s="19"/>
    </row>
    <row r="1297" spans="1:7">
      <c r="A1297" s="46"/>
      <c r="B1297" s="19"/>
      <c r="C1297" s="19"/>
      <c r="D1297" s="19"/>
      <c r="E1297" s="19"/>
      <c r="F1297" s="43"/>
      <c r="G1297" s="19"/>
    </row>
    <row r="1298" spans="1:7">
      <c r="A1298" s="46"/>
      <c r="B1298" s="19"/>
      <c r="C1298" s="19"/>
      <c r="D1298" s="19"/>
      <c r="E1298" s="19"/>
      <c r="F1298" s="43"/>
      <c r="G1298" s="19"/>
    </row>
    <row r="1299" spans="1:7">
      <c r="A1299" s="46"/>
      <c r="B1299" s="19"/>
      <c r="C1299" s="19"/>
      <c r="D1299" s="19"/>
      <c r="E1299" s="19"/>
      <c r="F1299" s="43"/>
      <c r="G1299" s="19"/>
    </row>
    <row r="1300" spans="1:7">
      <c r="A1300" s="46"/>
      <c r="B1300" s="19"/>
      <c r="C1300" s="19"/>
      <c r="D1300" s="19"/>
      <c r="E1300" s="19"/>
      <c r="F1300" s="43"/>
      <c r="G1300" s="19"/>
    </row>
    <row r="1301" spans="1:7">
      <c r="A1301" s="46"/>
      <c r="B1301" s="19"/>
      <c r="C1301" s="19"/>
      <c r="D1301" s="19"/>
      <c r="E1301" s="19"/>
      <c r="F1301" s="43"/>
      <c r="G1301" s="19"/>
    </row>
    <row r="1302" spans="1:7">
      <c r="A1302" s="46"/>
      <c r="B1302" s="19"/>
      <c r="C1302" s="19"/>
      <c r="D1302" s="19"/>
      <c r="E1302" s="19"/>
      <c r="F1302" s="43"/>
      <c r="G1302" s="19"/>
    </row>
    <row r="1303" spans="1:7">
      <c r="A1303" s="46"/>
      <c r="B1303" s="19"/>
      <c r="C1303" s="19"/>
      <c r="D1303" s="19"/>
      <c r="E1303" s="19"/>
      <c r="F1303" s="43"/>
      <c r="G1303" s="19"/>
    </row>
    <row r="1304" spans="1:7">
      <c r="A1304" s="46"/>
      <c r="B1304" s="19"/>
      <c r="C1304" s="19"/>
      <c r="D1304" s="19"/>
      <c r="E1304" s="19"/>
      <c r="F1304" s="43"/>
      <c r="G1304" s="19"/>
    </row>
    <row r="1305" spans="1:7">
      <c r="A1305" s="46"/>
      <c r="B1305" s="19"/>
      <c r="C1305" s="19"/>
      <c r="D1305" s="19"/>
      <c r="E1305" s="19"/>
      <c r="F1305" s="43"/>
      <c r="G1305" s="19"/>
    </row>
    <row r="1306" spans="1:7">
      <c r="A1306" s="46"/>
      <c r="B1306" s="19"/>
      <c r="C1306" s="19"/>
      <c r="D1306" s="19"/>
      <c r="E1306" s="19"/>
      <c r="F1306" s="43"/>
      <c r="G1306" s="19"/>
    </row>
    <row r="1307" spans="1:7">
      <c r="A1307" s="46"/>
      <c r="B1307" s="19"/>
      <c r="C1307" s="19"/>
      <c r="D1307" s="19"/>
      <c r="E1307" s="19"/>
      <c r="F1307" s="43"/>
      <c r="G1307" s="19"/>
    </row>
    <row r="1308" spans="1:7">
      <c r="A1308" s="46"/>
      <c r="B1308" s="19"/>
      <c r="C1308" s="19"/>
      <c r="D1308" s="19"/>
      <c r="E1308" s="19"/>
      <c r="F1308" s="43"/>
      <c r="G1308" s="19"/>
    </row>
    <row r="1309" spans="1:7">
      <c r="A1309" s="46"/>
      <c r="B1309" s="19"/>
      <c r="C1309" s="19"/>
      <c r="D1309" s="19"/>
      <c r="E1309" s="19"/>
      <c r="F1309" s="43"/>
      <c r="G1309" s="19"/>
    </row>
    <row r="1310" spans="1:7">
      <c r="A1310" s="46"/>
      <c r="B1310" s="19"/>
      <c r="C1310" s="19"/>
      <c r="D1310" s="19"/>
      <c r="E1310" s="19"/>
      <c r="F1310" s="43"/>
      <c r="G1310" s="19"/>
    </row>
    <row r="1311" spans="1:7">
      <c r="A1311" s="46"/>
      <c r="B1311" s="19"/>
      <c r="C1311" s="19"/>
      <c r="D1311" s="19"/>
      <c r="E1311" s="19"/>
      <c r="F1311" s="43"/>
      <c r="G1311" s="19"/>
    </row>
    <row r="1312" spans="1:7">
      <c r="A1312" s="46"/>
      <c r="B1312" s="19"/>
      <c r="C1312" s="19"/>
      <c r="D1312" s="19"/>
      <c r="E1312" s="19"/>
      <c r="F1312" s="43"/>
      <c r="G1312" s="19"/>
    </row>
    <row r="1313" spans="1:7">
      <c r="A1313" s="46"/>
      <c r="B1313" s="19"/>
      <c r="C1313" s="19"/>
      <c r="D1313" s="19"/>
      <c r="E1313" s="19"/>
      <c r="F1313" s="43"/>
      <c r="G1313" s="19"/>
    </row>
    <row r="1314" spans="1:7">
      <c r="A1314" s="46"/>
      <c r="B1314" s="19"/>
      <c r="C1314" s="19"/>
      <c r="D1314" s="19"/>
      <c r="E1314" s="19"/>
      <c r="F1314" s="43"/>
      <c r="G1314" s="19"/>
    </row>
    <row r="1315" spans="1:7">
      <c r="A1315" s="46"/>
      <c r="B1315" s="19"/>
      <c r="C1315" s="19"/>
      <c r="D1315" s="19"/>
      <c r="E1315" s="19"/>
      <c r="F1315" s="43"/>
      <c r="G1315" s="19"/>
    </row>
    <row r="1316" spans="1:7">
      <c r="A1316" s="46"/>
      <c r="B1316" s="19"/>
      <c r="C1316" s="19"/>
      <c r="D1316" s="19"/>
      <c r="E1316" s="19"/>
      <c r="F1316" s="43"/>
      <c r="G1316" s="19"/>
    </row>
    <row r="1317" spans="1:7">
      <c r="A1317" s="46"/>
      <c r="B1317" s="19"/>
      <c r="C1317" s="19"/>
      <c r="D1317" s="19"/>
      <c r="E1317" s="19"/>
      <c r="F1317" s="43"/>
      <c r="G1317" s="19"/>
    </row>
    <row r="1318" spans="1:7">
      <c r="A1318" s="46"/>
      <c r="B1318" s="19"/>
      <c r="C1318" s="19"/>
      <c r="D1318" s="19"/>
      <c r="E1318" s="19"/>
      <c r="F1318" s="43"/>
      <c r="G1318" s="19"/>
    </row>
    <row r="1319" spans="1:7">
      <c r="A1319" s="46"/>
      <c r="B1319" s="19"/>
      <c r="C1319" s="19"/>
      <c r="D1319" s="19"/>
      <c r="E1319" s="19"/>
      <c r="F1319" s="43"/>
      <c r="G1319" s="19"/>
    </row>
    <row r="1320" spans="1:7">
      <c r="A1320" s="46"/>
      <c r="B1320" s="19"/>
      <c r="C1320" s="19"/>
      <c r="D1320" s="19"/>
      <c r="E1320" s="19"/>
      <c r="F1320" s="43"/>
      <c r="G1320" s="19"/>
    </row>
    <row r="1321" spans="1:7">
      <c r="A1321" s="46"/>
      <c r="B1321" s="19"/>
      <c r="C1321" s="19"/>
      <c r="D1321" s="19"/>
      <c r="E1321" s="19"/>
      <c r="F1321" s="43"/>
      <c r="G1321" s="19"/>
    </row>
    <row r="1322" spans="1:7">
      <c r="A1322" s="46"/>
      <c r="B1322" s="19"/>
      <c r="C1322" s="19"/>
      <c r="D1322" s="19"/>
      <c r="E1322" s="19"/>
      <c r="F1322" s="43"/>
      <c r="G1322" s="19"/>
    </row>
    <row r="1323" spans="1:7">
      <c r="A1323" s="46"/>
      <c r="B1323" s="19"/>
      <c r="C1323" s="19"/>
      <c r="D1323" s="19"/>
      <c r="E1323" s="19"/>
      <c r="F1323" s="43"/>
      <c r="G1323" s="19"/>
    </row>
    <row r="1324" spans="1:7">
      <c r="A1324" s="46"/>
      <c r="B1324" s="19"/>
      <c r="C1324" s="19"/>
      <c r="D1324" s="19"/>
      <c r="E1324" s="19"/>
      <c r="F1324" s="43"/>
      <c r="G1324" s="19"/>
    </row>
    <row r="1325" spans="1:7">
      <c r="A1325" s="46"/>
      <c r="B1325" s="19"/>
      <c r="C1325" s="19"/>
      <c r="D1325" s="19"/>
      <c r="E1325" s="19"/>
      <c r="F1325" s="43"/>
      <c r="G1325" s="19"/>
    </row>
    <row r="1326" spans="1:7">
      <c r="A1326" s="46"/>
      <c r="B1326" s="19"/>
      <c r="C1326" s="19"/>
      <c r="D1326" s="19"/>
      <c r="E1326" s="19"/>
      <c r="F1326" s="43"/>
      <c r="G1326" s="19"/>
    </row>
    <row r="1327" spans="1:7">
      <c r="A1327" s="46"/>
      <c r="B1327" s="19"/>
      <c r="C1327" s="19"/>
      <c r="D1327" s="19"/>
      <c r="E1327" s="19"/>
      <c r="F1327" s="43"/>
      <c r="G1327" s="19"/>
    </row>
    <row r="1328" spans="1:7">
      <c r="A1328" s="46"/>
      <c r="B1328" s="19"/>
      <c r="C1328" s="19"/>
      <c r="D1328" s="19"/>
      <c r="E1328" s="19"/>
      <c r="F1328" s="43"/>
      <c r="G1328" s="19"/>
    </row>
    <row r="1329" spans="1:7">
      <c r="A1329" s="46"/>
      <c r="B1329" s="19"/>
      <c r="C1329" s="19"/>
      <c r="D1329" s="19"/>
      <c r="E1329" s="19"/>
      <c r="F1329" s="43"/>
      <c r="G1329" s="19"/>
    </row>
    <row r="1330" spans="1:7">
      <c r="A1330" s="46"/>
      <c r="B1330" s="19"/>
      <c r="C1330" s="19"/>
      <c r="D1330" s="19"/>
      <c r="E1330" s="19"/>
      <c r="F1330" s="43"/>
      <c r="G1330" s="19"/>
    </row>
    <row r="1331" spans="1:7">
      <c r="A1331" s="46"/>
      <c r="B1331" s="19"/>
      <c r="C1331" s="19"/>
      <c r="D1331" s="19"/>
      <c r="E1331" s="19"/>
      <c r="F1331" s="43"/>
      <c r="G1331" s="19"/>
    </row>
    <row r="1332" spans="1:7">
      <c r="A1332" s="46"/>
      <c r="B1332" s="19"/>
      <c r="C1332" s="19"/>
      <c r="D1332" s="19"/>
      <c r="E1332" s="19"/>
      <c r="F1332" s="43"/>
      <c r="G1332" s="19"/>
    </row>
    <row r="1333" spans="1:7">
      <c r="A1333" s="46"/>
      <c r="B1333" s="19"/>
      <c r="C1333" s="19"/>
      <c r="D1333" s="19"/>
      <c r="E1333" s="19"/>
      <c r="F1333" s="43"/>
      <c r="G1333" s="19"/>
    </row>
    <row r="1334" spans="1:7">
      <c r="A1334" s="46"/>
      <c r="B1334" s="19"/>
      <c r="C1334" s="19"/>
      <c r="D1334" s="19"/>
      <c r="E1334" s="19"/>
      <c r="F1334" s="43"/>
      <c r="G1334" s="19"/>
    </row>
    <row r="1335" spans="1:7">
      <c r="A1335" s="46"/>
      <c r="B1335" s="19"/>
      <c r="C1335" s="19"/>
      <c r="D1335" s="19"/>
      <c r="E1335" s="19"/>
      <c r="F1335" s="43"/>
      <c r="G1335" s="19"/>
    </row>
    <row r="1336" spans="1:7">
      <c r="A1336" s="46"/>
      <c r="B1336" s="19"/>
      <c r="C1336" s="19"/>
      <c r="D1336" s="19"/>
      <c r="E1336" s="19"/>
      <c r="F1336" s="43"/>
      <c r="G1336" s="19"/>
    </row>
    <row r="1337" spans="1:7">
      <c r="A1337" s="46"/>
      <c r="B1337" s="19"/>
      <c r="C1337" s="19"/>
      <c r="D1337" s="19"/>
      <c r="E1337" s="19"/>
      <c r="F1337" s="43"/>
      <c r="G1337" s="19"/>
    </row>
    <row r="1338" spans="1:7">
      <c r="A1338" s="46"/>
      <c r="B1338" s="19"/>
      <c r="C1338" s="19"/>
      <c r="D1338" s="19"/>
      <c r="E1338" s="19"/>
      <c r="F1338" s="43"/>
      <c r="G1338" s="19"/>
    </row>
    <row r="1339" spans="1:7">
      <c r="A1339" s="46"/>
      <c r="B1339" s="19"/>
      <c r="C1339" s="19"/>
      <c r="D1339" s="19"/>
      <c r="E1339" s="19"/>
      <c r="F1339" s="43"/>
      <c r="G1339" s="19"/>
    </row>
    <row r="1340" spans="1:7">
      <c r="A1340" s="46"/>
      <c r="B1340" s="19"/>
      <c r="C1340" s="19"/>
      <c r="D1340" s="19"/>
      <c r="E1340" s="19"/>
      <c r="F1340" s="43"/>
      <c r="G1340" s="19"/>
    </row>
    <row r="1341" spans="1:7">
      <c r="A1341" s="46"/>
      <c r="B1341" s="19"/>
      <c r="C1341" s="19"/>
      <c r="D1341" s="19"/>
      <c r="E1341" s="19"/>
      <c r="F1341" s="43"/>
      <c r="G1341" s="19"/>
    </row>
    <row r="1342" spans="1:7">
      <c r="A1342" s="46"/>
      <c r="B1342" s="19"/>
      <c r="C1342" s="19"/>
      <c r="D1342" s="19"/>
      <c r="E1342" s="19"/>
      <c r="F1342" s="43"/>
      <c r="G1342" s="19"/>
    </row>
    <row r="1343" spans="1:7">
      <c r="A1343" s="46"/>
      <c r="B1343" s="19"/>
      <c r="C1343" s="19"/>
      <c r="D1343" s="19"/>
      <c r="E1343" s="19"/>
      <c r="F1343" s="43"/>
      <c r="G1343" s="19"/>
    </row>
    <row r="1344" spans="1:7">
      <c r="A1344" s="46"/>
      <c r="B1344" s="19"/>
      <c r="C1344" s="19"/>
      <c r="D1344" s="19"/>
      <c r="E1344" s="19"/>
      <c r="F1344" s="43"/>
      <c r="G1344" s="19"/>
    </row>
    <row r="1345" spans="1:7">
      <c r="A1345" s="46"/>
      <c r="B1345" s="19"/>
      <c r="C1345" s="19"/>
      <c r="D1345" s="19"/>
      <c r="E1345" s="19"/>
      <c r="F1345" s="43"/>
      <c r="G1345" s="19"/>
    </row>
    <row r="1346" spans="1:7">
      <c r="A1346" s="46"/>
      <c r="B1346" s="19"/>
      <c r="C1346" s="19"/>
      <c r="D1346" s="19"/>
      <c r="E1346" s="19"/>
      <c r="F1346" s="43"/>
      <c r="G1346" s="19"/>
    </row>
    <row r="1347" spans="1:7">
      <c r="A1347" s="46"/>
      <c r="B1347" s="19"/>
      <c r="C1347" s="19"/>
      <c r="D1347" s="19"/>
      <c r="E1347" s="19"/>
      <c r="F1347" s="43"/>
      <c r="G1347" s="19"/>
    </row>
    <row r="1348" spans="1:7">
      <c r="A1348" s="46"/>
      <c r="B1348" s="19"/>
      <c r="C1348" s="19"/>
      <c r="D1348" s="19"/>
      <c r="E1348" s="19"/>
      <c r="F1348" s="43"/>
      <c r="G1348" s="19"/>
    </row>
    <row r="1349" spans="1:7">
      <c r="A1349" s="46"/>
      <c r="B1349" s="19"/>
      <c r="C1349" s="19"/>
      <c r="D1349" s="19"/>
      <c r="E1349" s="19"/>
      <c r="F1349" s="43"/>
      <c r="G1349" s="19"/>
    </row>
    <row r="1350" spans="1:7">
      <c r="A1350" s="46"/>
      <c r="B1350" s="19"/>
      <c r="C1350" s="19"/>
      <c r="D1350" s="19"/>
      <c r="E1350" s="19"/>
      <c r="F1350" s="43"/>
      <c r="G1350" s="19"/>
    </row>
    <row r="1351" spans="1:7">
      <c r="A1351" s="46"/>
      <c r="B1351" s="19"/>
      <c r="C1351" s="19"/>
      <c r="D1351" s="19"/>
      <c r="E1351" s="19"/>
      <c r="F1351" s="43"/>
      <c r="G1351" s="19"/>
    </row>
    <row r="1352" spans="1:7">
      <c r="A1352" s="46"/>
      <c r="B1352" s="19"/>
      <c r="C1352" s="19"/>
      <c r="D1352" s="19"/>
      <c r="E1352" s="19"/>
      <c r="F1352" s="43"/>
      <c r="G1352" s="19"/>
    </row>
    <row r="1353" spans="1:7">
      <c r="A1353" s="46"/>
      <c r="B1353" s="19"/>
      <c r="C1353" s="19"/>
      <c r="D1353" s="19"/>
      <c r="E1353" s="19"/>
      <c r="F1353" s="43"/>
      <c r="G1353" s="19"/>
    </row>
    <row r="1354" spans="1:7">
      <c r="A1354" s="46"/>
      <c r="B1354" s="19"/>
      <c r="C1354" s="19"/>
      <c r="D1354" s="19"/>
      <c r="E1354" s="19"/>
      <c r="F1354" s="43"/>
      <c r="G1354" s="19"/>
    </row>
    <row r="1355" spans="1:7">
      <c r="A1355" s="46"/>
      <c r="B1355" s="19"/>
      <c r="C1355" s="19"/>
      <c r="D1355" s="19"/>
      <c r="E1355" s="19"/>
      <c r="F1355" s="43"/>
      <c r="G1355" s="19"/>
    </row>
    <row r="1356" spans="1:7">
      <c r="A1356" s="46"/>
      <c r="B1356" s="19"/>
      <c r="C1356" s="19"/>
      <c r="D1356" s="19"/>
      <c r="E1356" s="19"/>
      <c r="F1356" s="43"/>
      <c r="G1356" s="19"/>
    </row>
    <row r="1357" spans="1:7">
      <c r="A1357" s="46"/>
      <c r="B1357" s="19"/>
      <c r="C1357" s="19"/>
      <c r="D1357" s="19"/>
      <c r="E1357" s="19"/>
      <c r="F1357" s="43"/>
      <c r="G1357" s="19"/>
    </row>
    <row r="1358" spans="1:7">
      <c r="A1358" s="46"/>
      <c r="B1358" s="19"/>
      <c r="C1358" s="19"/>
      <c r="D1358" s="19"/>
      <c r="E1358" s="19"/>
      <c r="F1358" s="43"/>
      <c r="G1358" s="19"/>
    </row>
    <row r="1359" spans="1:7">
      <c r="A1359" s="46"/>
      <c r="B1359" s="19"/>
      <c r="C1359" s="19"/>
      <c r="D1359" s="19"/>
      <c r="E1359" s="19"/>
      <c r="F1359" s="43"/>
      <c r="G1359" s="19"/>
    </row>
    <row r="1360" spans="1:7">
      <c r="A1360" s="46"/>
      <c r="B1360" s="19"/>
      <c r="C1360" s="19"/>
      <c r="D1360" s="19"/>
      <c r="E1360" s="19"/>
      <c r="F1360" s="43"/>
      <c r="G1360" s="19"/>
    </row>
    <row r="1361" spans="1:7">
      <c r="A1361" s="46"/>
      <c r="B1361" s="19"/>
      <c r="C1361" s="19"/>
      <c r="D1361" s="19"/>
      <c r="E1361" s="19"/>
      <c r="F1361" s="43"/>
      <c r="G1361" s="19"/>
    </row>
    <row r="1362" spans="1:7">
      <c r="A1362" s="46"/>
      <c r="B1362" s="19"/>
      <c r="C1362" s="19"/>
      <c r="D1362" s="19"/>
      <c r="E1362" s="19"/>
      <c r="F1362" s="43"/>
      <c r="G1362" s="19"/>
    </row>
    <row r="1363" spans="1:7">
      <c r="A1363" s="46"/>
      <c r="B1363" s="19"/>
      <c r="C1363" s="19"/>
      <c r="D1363" s="19"/>
      <c r="E1363" s="19"/>
      <c r="F1363" s="43"/>
      <c r="G1363" s="19"/>
    </row>
    <row r="1364" spans="1:7">
      <c r="A1364" s="46"/>
      <c r="B1364" s="19"/>
      <c r="C1364" s="19"/>
      <c r="D1364" s="19"/>
      <c r="E1364" s="19"/>
      <c r="F1364" s="43"/>
      <c r="G1364" s="19"/>
    </row>
    <row r="1365" spans="1:7">
      <c r="A1365" s="46"/>
      <c r="B1365" s="19"/>
      <c r="C1365" s="19"/>
      <c r="D1365" s="19"/>
      <c r="E1365" s="19"/>
      <c r="F1365" s="43"/>
      <c r="G1365" s="19"/>
    </row>
    <row r="1366" spans="1:7">
      <c r="A1366" s="46"/>
      <c r="B1366" s="19"/>
      <c r="C1366" s="19"/>
      <c r="D1366" s="19"/>
      <c r="E1366" s="19"/>
      <c r="F1366" s="43"/>
      <c r="G1366" s="19"/>
    </row>
    <row r="1367" spans="1:7">
      <c r="A1367" s="46"/>
      <c r="B1367" s="19"/>
      <c r="C1367" s="19"/>
      <c r="D1367" s="19"/>
      <c r="E1367" s="19"/>
      <c r="F1367" s="43"/>
      <c r="G1367" s="19"/>
    </row>
    <row r="1368" spans="1:7">
      <c r="A1368" s="46"/>
      <c r="B1368" s="19"/>
      <c r="C1368" s="19"/>
      <c r="D1368" s="19"/>
      <c r="E1368" s="19"/>
      <c r="F1368" s="43"/>
      <c r="G1368" s="19"/>
    </row>
    <row r="1369" spans="1:7">
      <c r="A1369" s="46"/>
      <c r="B1369" s="19"/>
      <c r="C1369" s="19"/>
      <c r="D1369" s="19"/>
      <c r="E1369" s="19"/>
      <c r="F1369" s="43"/>
      <c r="G1369" s="19"/>
    </row>
    <row r="1370" spans="1:7">
      <c r="A1370" s="46"/>
      <c r="B1370" s="19"/>
      <c r="C1370" s="19"/>
      <c r="D1370" s="19"/>
      <c r="E1370" s="19"/>
      <c r="F1370" s="43"/>
      <c r="G1370" s="19"/>
    </row>
    <row r="1371" spans="1:7">
      <c r="A1371" s="46"/>
      <c r="B1371" s="19"/>
      <c r="C1371" s="19"/>
      <c r="D1371" s="19"/>
      <c r="E1371" s="19"/>
      <c r="F1371" s="43"/>
      <c r="G1371" s="19"/>
    </row>
    <row r="1372" spans="1:7">
      <c r="A1372" s="46"/>
      <c r="B1372" s="19"/>
      <c r="C1372" s="19"/>
      <c r="D1372" s="19"/>
      <c r="E1372" s="19"/>
      <c r="F1372" s="43"/>
      <c r="G1372" s="19"/>
    </row>
    <row r="1373" spans="1:7">
      <c r="A1373" s="46"/>
      <c r="B1373" s="19"/>
      <c r="C1373" s="19"/>
      <c r="D1373" s="19"/>
      <c r="E1373" s="19"/>
      <c r="F1373" s="43"/>
      <c r="G1373" s="19"/>
    </row>
    <row r="1374" spans="1:7">
      <c r="A1374" s="46"/>
      <c r="B1374" s="19"/>
      <c r="C1374" s="19"/>
      <c r="D1374" s="19"/>
      <c r="E1374" s="19"/>
      <c r="F1374" s="43"/>
      <c r="G1374" s="19"/>
    </row>
    <row r="1375" spans="1:7">
      <c r="A1375" s="46"/>
      <c r="B1375" s="19"/>
      <c r="C1375" s="19"/>
      <c r="D1375" s="19"/>
      <c r="E1375" s="19"/>
      <c r="F1375" s="43"/>
      <c r="G1375" s="19"/>
    </row>
    <row r="1376" spans="1:7">
      <c r="A1376" s="46"/>
      <c r="B1376" s="19"/>
      <c r="C1376" s="19"/>
      <c r="D1376" s="19"/>
      <c r="E1376" s="19"/>
      <c r="F1376" s="43"/>
      <c r="G1376" s="19"/>
    </row>
    <row r="1377" spans="1:7">
      <c r="A1377" s="46"/>
      <c r="B1377" s="19"/>
      <c r="C1377" s="19"/>
      <c r="D1377" s="19"/>
      <c r="E1377" s="19"/>
      <c r="F1377" s="43"/>
      <c r="G1377" s="19"/>
    </row>
    <row r="1378" spans="1:7">
      <c r="A1378" s="46"/>
      <c r="B1378" s="19"/>
      <c r="C1378" s="19"/>
      <c r="D1378" s="19"/>
      <c r="E1378" s="19"/>
      <c r="F1378" s="43"/>
      <c r="G1378" s="19"/>
    </row>
    <row r="1379" spans="1:7">
      <c r="A1379" s="46"/>
      <c r="B1379" s="19"/>
      <c r="C1379" s="19"/>
      <c r="D1379" s="19"/>
      <c r="E1379" s="19"/>
      <c r="F1379" s="43"/>
      <c r="G1379" s="19"/>
    </row>
    <row r="1380" spans="1:7">
      <c r="A1380" s="46"/>
      <c r="B1380" s="19"/>
      <c r="C1380" s="19"/>
      <c r="D1380" s="19"/>
      <c r="E1380" s="19"/>
      <c r="F1380" s="43"/>
      <c r="G1380" s="19"/>
    </row>
    <row r="1381" spans="1:7">
      <c r="A1381" s="46"/>
      <c r="B1381" s="19"/>
      <c r="C1381" s="19"/>
      <c r="D1381" s="19"/>
      <c r="E1381" s="19"/>
      <c r="F1381" s="43"/>
      <c r="G1381" s="19"/>
    </row>
    <row r="1382" spans="1:7">
      <c r="A1382" s="46"/>
      <c r="B1382" s="19"/>
      <c r="C1382" s="19"/>
      <c r="D1382" s="19"/>
      <c r="E1382" s="19"/>
      <c r="F1382" s="43"/>
      <c r="G1382" s="19"/>
    </row>
    <row r="1383" spans="1:7">
      <c r="A1383" s="46"/>
      <c r="B1383" s="19"/>
      <c r="C1383" s="19"/>
      <c r="D1383" s="19"/>
      <c r="E1383" s="19"/>
      <c r="F1383" s="43"/>
      <c r="G1383" s="19"/>
    </row>
    <row r="1384" spans="1:7">
      <c r="A1384" s="46"/>
      <c r="B1384" s="19"/>
      <c r="C1384" s="19"/>
      <c r="D1384" s="19"/>
      <c r="E1384" s="19"/>
      <c r="F1384" s="43"/>
      <c r="G1384" s="19"/>
    </row>
    <row r="1385" spans="1:7">
      <c r="A1385" s="46"/>
      <c r="B1385" s="19"/>
      <c r="C1385" s="19"/>
      <c r="D1385" s="19"/>
      <c r="E1385" s="19"/>
      <c r="F1385" s="43"/>
      <c r="G1385" s="19"/>
    </row>
    <row r="1386" spans="1:7">
      <c r="A1386" s="46"/>
      <c r="B1386" s="19"/>
      <c r="C1386" s="19"/>
      <c r="D1386" s="19"/>
      <c r="E1386" s="19"/>
      <c r="F1386" s="43"/>
      <c r="G1386" s="19"/>
    </row>
    <row r="1387" spans="1:7">
      <c r="A1387" s="46"/>
      <c r="B1387" s="19"/>
      <c r="C1387" s="19"/>
      <c r="D1387" s="19"/>
      <c r="E1387" s="19"/>
      <c r="F1387" s="43"/>
      <c r="G1387" s="19"/>
    </row>
    <row r="1388" spans="1:7">
      <c r="A1388" s="46"/>
      <c r="B1388" s="19"/>
      <c r="C1388" s="19"/>
      <c r="D1388" s="19"/>
      <c r="E1388" s="19"/>
      <c r="F1388" s="43"/>
      <c r="G1388" s="19"/>
    </row>
    <row r="1389" spans="1:7">
      <c r="A1389" s="46"/>
      <c r="B1389" s="19"/>
      <c r="C1389" s="19"/>
      <c r="D1389" s="19"/>
      <c r="E1389" s="19"/>
      <c r="F1389" s="43"/>
      <c r="G1389" s="19"/>
    </row>
    <row r="1390" spans="1:7">
      <c r="A1390" s="46"/>
      <c r="B1390" s="19"/>
      <c r="C1390" s="19"/>
      <c r="D1390" s="19"/>
      <c r="E1390" s="19"/>
      <c r="F1390" s="43"/>
      <c r="G1390" s="19"/>
    </row>
    <row r="1391" spans="1:7">
      <c r="A1391" s="46"/>
      <c r="B1391" s="19"/>
      <c r="C1391" s="19"/>
      <c r="D1391" s="19"/>
      <c r="E1391" s="19"/>
      <c r="F1391" s="43"/>
      <c r="G1391" s="19"/>
    </row>
    <row r="1392" spans="1:7">
      <c r="A1392" s="46"/>
      <c r="B1392" s="19"/>
      <c r="C1392" s="19"/>
      <c r="D1392" s="19"/>
      <c r="E1392" s="19"/>
      <c r="F1392" s="43"/>
      <c r="G1392" s="19"/>
    </row>
    <row r="1393" spans="1:7">
      <c r="A1393" s="46"/>
      <c r="B1393" s="19"/>
      <c r="C1393" s="19"/>
      <c r="D1393" s="19"/>
      <c r="E1393" s="19"/>
      <c r="F1393" s="43"/>
      <c r="G1393" s="19"/>
    </row>
    <row r="1394" spans="1:7">
      <c r="A1394" s="46"/>
      <c r="B1394" s="19"/>
      <c r="C1394" s="19"/>
      <c r="D1394" s="19"/>
      <c r="E1394" s="19"/>
      <c r="F1394" s="43"/>
      <c r="G1394" s="19"/>
    </row>
    <row r="1395" spans="1:7">
      <c r="A1395" s="46"/>
      <c r="B1395" s="19"/>
      <c r="C1395" s="19"/>
      <c r="D1395" s="19"/>
      <c r="E1395" s="19"/>
      <c r="F1395" s="43"/>
      <c r="G1395" s="19"/>
    </row>
    <row r="1396" spans="1:7">
      <c r="A1396" s="46"/>
      <c r="B1396" s="19"/>
      <c r="C1396" s="19"/>
      <c r="D1396" s="19"/>
      <c r="E1396" s="19"/>
      <c r="F1396" s="43"/>
      <c r="G1396" s="19"/>
    </row>
    <row r="1397" spans="1:7">
      <c r="A1397" s="46"/>
      <c r="B1397" s="19"/>
      <c r="C1397" s="19"/>
      <c r="D1397" s="19"/>
      <c r="E1397" s="19"/>
      <c r="F1397" s="43"/>
      <c r="G1397" s="19"/>
    </row>
    <row r="1398" spans="1:7">
      <c r="A1398" s="46"/>
      <c r="B1398" s="19"/>
      <c r="C1398" s="19"/>
      <c r="D1398" s="19"/>
      <c r="E1398" s="19"/>
      <c r="F1398" s="43"/>
      <c r="G1398" s="19"/>
    </row>
    <row r="1399" spans="1:7">
      <c r="A1399" s="46"/>
      <c r="B1399" s="19"/>
      <c r="C1399" s="19"/>
      <c r="D1399" s="19"/>
      <c r="E1399" s="19"/>
      <c r="F1399" s="43"/>
      <c r="G1399" s="19"/>
    </row>
    <row r="1400" spans="1:7">
      <c r="A1400" s="46"/>
      <c r="B1400" s="19"/>
      <c r="C1400" s="19"/>
      <c r="D1400" s="19"/>
      <c r="E1400" s="19"/>
      <c r="F1400" s="43"/>
      <c r="G1400" s="19"/>
    </row>
    <row r="1401" spans="1:7">
      <c r="A1401" s="46"/>
      <c r="B1401" s="19"/>
      <c r="C1401" s="19"/>
      <c r="D1401" s="19"/>
      <c r="E1401" s="19"/>
      <c r="F1401" s="43"/>
      <c r="G1401" s="19"/>
    </row>
    <row r="1402" spans="1:7">
      <c r="A1402" s="46"/>
      <c r="B1402" s="19"/>
      <c r="C1402" s="19"/>
      <c r="D1402" s="19"/>
      <c r="E1402" s="19"/>
      <c r="F1402" s="43"/>
      <c r="G1402" s="19"/>
    </row>
    <row r="1403" spans="1:7">
      <c r="A1403" s="46"/>
      <c r="B1403" s="19"/>
      <c r="C1403" s="19"/>
      <c r="D1403" s="19"/>
      <c r="E1403" s="19"/>
      <c r="F1403" s="43"/>
      <c r="G1403" s="19"/>
    </row>
    <row r="1404" spans="1:7">
      <c r="A1404" s="46"/>
      <c r="B1404" s="19"/>
      <c r="C1404" s="19"/>
      <c r="D1404" s="19"/>
      <c r="E1404" s="19"/>
      <c r="F1404" s="43"/>
      <c r="G1404" s="19"/>
    </row>
    <row r="1405" spans="1:7">
      <c r="A1405" s="46"/>
      <c r="B1405" s="19"/>
      <c r="C1405" s="19"/>
      <c r="D1405" s="19"/>
      <c r="E1405" s="19"/>
      <c r="F1405" s="43"/>
      <c r="G1405" s="19"/>
    </row>
    <row r="1406" spans="1:7">
      <c r="A1406" s="46"/>
      <c r="B1406" s="19"/>
      <c r="C1406" s="19"/>
      <c r="D1406" s="19"/>
      <c r="E1406" s="19"/>
      <c r="F1406" s="43"/>
      <c r="G1406" s="19"/>
    </row>
    <row r="1407" spans="1:7">
      <c r="A1407" s="46"/>
      <c r="B1407" s="19"/>
      <c r="C1407" s="19"/>
      <c r="D1407" s="19"/>
      <c r="E1407" s="19"/>
      <c r="F1407" s="43"/>
      <c r="G1407" s="19"/>
    </row>
    <row r="1408" spans="1:7">
      <c r="A1408" s="46"/>
      <c r="B1408" s="19"/>
      <c r="C1408" s="19"/>
      <c r="D1408" s="19"/>
      <c r="E1408" s="19"/>
      <c r="F1408" s="43"/>
      <c r="G1408" s="19"/>
    </row>
    <row r="1409" spans="1:7">
      <c r="A1409" s="46"/>
      <c r="B1409" s="19"/>
      <c r="C1409" s="19"/>
      <c r="D1409" s="19"/>
      <c r="E1409" s="19"/>
      <c r="F1409" s="43"/>
      <c r="G1409" s="19"/>
    </row>
    <row r="1410" spans="1:7">
      <c r="A1410" s="46"/>
      <c r="B1410" s="19"/>
      <c r="C1410" s="19"/>
      <c r="D1410" s="19"/>
      <c r="E1410" s="19"/>
      <c r="F1410" s="43"/>
      <c r="G1410" s="19"/>
    </row>
    <row r="1411" spans="1:7">
      <c r="A1411" s="46"/>
      <c r="B1411" s="19"/>
      <c r="C1411" s="19"/>
      <c r="D1411" s="19"/>
      <c r="E1411" s="19"/>
      <c r="F1411" s="43"/>
      <c r="G1411" s="19"/>
    </row>
    <row r="1412" spans="1:7">
      <c r="A1412" s="46"/>
      <c r="B1412" s="19"/>
      <c r="C1412" s="19"/>
      <c r="D1412" s="19"/>
      <c r="E1412" s="19"/>
      <c r="F1412" s="43"/>
      <c r="G1412" s="19"/>
    </row>
    <row r="1413" spans="1:7">
      <c r="A1413" s="46"/>
      <c r="B1413" s="19"/>
      <c r="C1413" s="19"/>
      <c r="D1413" s="19"/>
      <c r="E1413" s="19"/>
      <c r="F1413" s="43"/>
      <c r="G1413" s="19"/>
    </row>
    <row r="1414" spans="1:7">
      <c r="A1414" s="46"/>
      <c r="B1414" s="19"/>
      <c r="C1414" s="19"/>
      <c r="D1414" s="19"/>
      <c r="E1414" s="19"/>
      <c r="F1414" s="43"/>
      <c r="G1414" s="19"/>
    </row>
    <row r="1415" spans="1:7">
      <c r="A1415" s="46"/>
      <c r="B1415" s="19"/>
      <c r="C1415" s="19"/>
      <c r="D1415" s="19"/>
      <c r="E1415" s="19"/>
      <c r="F1415" s="43"/>
      <c r="G1415" s="19"/>
    </row>
    <row r="1416" spans="1:7">
      <c r="A1416" s="46"/>
      <c r="B1416" s="19"/>
      <c r="C1416" s="19"/>
      <c r="D1416" s="19"/>
      <c r="E1416" s="19"/>
      <c r="F1416" s="43"/>
      <c r="G1416" s="19"/>
    </row>
    <row r="1417" spans="1:7">
      <c r="A1417" s="46"/>
      <c r="B1417" s="19"/>
      <c r="C1417" s="19"/>
      <c r="D1417" s="19"/>
      <c r="E1417" s="19"/>
      <c r="F1417" s="43"/>
      <c r="G1417" s="19"/>
    </row>
    <row r="1418" spans="1:7">
      <c r="A1418" s="46"/>
      <c r="B1418" s="19"/>
      <c r="C1418" s="19"/>
      <c r="D1418" s="19"/>
      <c r="E1418" s="19"/>
      <c r="F1418" s="43"/>
      <c r="G1418" s="19"/>
    </row>
    <row r="1419" spans="1:7">
      <c r="A1419" s="46"/>
      <c r="B1419" s="19"/>
      <c r="C1419" s="19"/>
      <c r="D1419" s="19"/>
      <c r="E1419" s="19"/>
      <c r="F1419" s="43"/>
      <c r="G1419" s="19"/>
    </row>
    <row r="1420" spans="1:7">
      <c r="A1420" s="46"/>
      <c r="B1420" s="19"/>
      <c r="C1420" s="19"/>
      <c r="D1420" s="19"/>
      <c r="E1420" s="19"/>
      <c r="F1420" s="43"/>
      <c r="G1420" s="19"/>
    </row>
    <row r="1421" spans="1:7">
      <c r="A1421" s="46"/>
      <c r="B1421" s="19"/>
      <c r="C1421" s="19"/>
      <c r="D1421" s="19"/>
      <c r="E1421" s="19"/>
      <c r="F1421" s="43"/>
      <c r="G1421" s="19"/>
    </row>
    <row r="1422" spans="1:7">
      <c r="A1422" s="46"/>
      <c r="B1422" s="19"/>
      <c r="C1422" s="19"/>
      <c r="D1422" s="19"/>
      <c r="E1422" s="19"/>
      <c r="F1422" s="43"/>
      <c r="G1422" s="19"/>
    </row>
    <row r="1423" spans="1:7">
      <c r="A1423" s="46"/>
      <c r="B1423" s="19"/>
      <c r="C1423" s="19"/>
      <c r="D1423" s="19"/>
      <c r="E1423" s="19"/>
      <c r="F1423" s="43"/>
      <c r="G1423" s="19"/>
    </row>
    <row r="1424" spans="1:7">
      <c r="A1424" s="46"/>
      <c r="B1424" s="19"/>
      <c r="C1424" s="19"/>
      <c r="D1424" s="19"/>
      <c r="E1424" s="19"/>
      <c r="F1424" s="43"/>
      <c r="G1424" s="19"/>
    </row>
    <row r="1425" spans="1:7">
      <c r="A1425" s="46"/>
      <c r="B1425" s="19"/>
      <c r="C1425" s="19"/>
      <c r="D1425" s="19"/>
      <c r="E1425" s="19"/>
      <c r="F1425" s="43"/>
      <c r="G1425" s="19"/>
    </row>
    <row r="1426" spans="1:7">
      <c r="A1426" s="46"/>
      <c r="B1426" s="19"/>
      <c r="C1426" s="19"/>
      <c r="D1426" s="19"/>
      <c r="E1426" s="19"/>
      <c r="F1426" s="43"/>
      <c r="G1426" s="19"/>
    </row>
    <row r="1427" spans="1:7">
      <c r="A1427" s="46"/>
      <c r="B1427" s="19"/>
      <c r="C1427" s="19"/>
      <c r="D1427" s="19"/>
      <c r="E1427" s="19"/>
      <c r="F1427" s="43"/>
      <c r="G1427" s="19"/>
    </row>
    <row r="1428" spans="1:7">
      <c r="A1428" s="46"/>
      <c r="B1428" s="19"/>
      <c r="C1428" s="19"/>
      <c r="D1428" s="19"/>
      <c r="E1428" s="19"/>
      <c r="F1428" s="43"/>
      <c r="G1428" s="19"/>
    </row>
    <row r="1429" spans="1:7">
      <c r="A1429" s="46"/>
      <c r="B1429" s="19"/>
      <c r="C1429" s="19"/>
      <c r="D1429" s="19"/>
      <c r="E1429" s="19"/>
      <c r="F1429" s="43"/>
      <c r="G1429" s="19"/>
    </row>
    <row r="1430" spans="1:7">
      <c r="A1430" s="46"/>
      <c r="B1430" s="19"/>
      <c r="C1430" s="19"/>
      <c r="D1430" s="19"/>
      <c r="E1430" s="19"/>
      <c r="F1430" s="43"/>
      <c r="G1430" s="19"/>
    </row>
    <row r="1431" spans="1:7">
      <c r="A1431" s="46"/>
      <c r="B1431" s="19"/>
      <c r="C1431" s="19"/>
      <c r="D1431" s="19"/>
      <c r="E1431" s="19"/>
      <c r="F1431" s="43"/>
      <c r="G1431" s="19"/>
    </row>
    <row r="1432" spans="1:7">
      <c r="A1432" s="46"/>
      <c r="B1432" s="19"/>
      <c r="C1432" s="19"/>
      <c r="D1432" s="19"/>
      <c r="E1432" s="19"/>
      <c r="F1432" s="43"/>
      <c r="G1432" s="19"/>
    </row>
    <row r="1433" spans="1:7">
      <c r="A1433" s="46"/>
      <c r="B1433" s="19"/>
      <c r="C1433" s="19"/>
      <c r="D1433" s="19"/>
      <c r="E1433" s="19"/>
      <c r="F1433" s="43"/>
      <c r="G1433" s="19"/>
    </row>
    <row r="1434" spans="1:7">
      <c r="A1434" s="46"/>
      <c r="B1434" s="19"/>
      <c r="C1434" s="19"/>
      <c r="D1434" s="19"/>
      <c r="E1434" s="19"/>
      <c r="F1434" s="43"/>
      <c r="G1434" s="19"/>
    </row>
    <row r="1435" spans="1:7">
      <c r="A1435" s="46"/>
      <c r="B1435" s="19"/>
      <c r="C1435" s="19"/>
      <c r="D1435" s="19"/>
      <c r="E1435" s="19"/>
      <c r="F1435" s="43"/>
      <c r="G1435" s="19"/>
    </row>
    <row r="1436" spans="1:7">
      <c r="A1436" s="46"/>
      <c r="B1436" s="19"/>
      <c r="C1436" s="19"/>
      <c r="D1436" s="19"/>
      <c r="E1436" s="19"/>
      <c r="F1436" s="43"/>
      <c r="G1436" s="19"/>
    </row>
    <row r="1437" spans="1:7">
      <c r="A1437" s="46"/>
      <c r="B1437" s="19"/>
      <c r="C1437" s="19"/>
      <c r="D1437" s="19"/>
      <c r="E1437" s="19"/>
      <c r="F1437" s="43"/>
      <c r="G1437" s="19"/>
    </row>
    <row r="1438" spans="1:7">
      <c r="A1438" s="46"/>
      <c r="B1438" s="19"/>
      <c r="C1438" s="19"/>
      <c r="D1438" s="19"/>
      <c r="E1438" s="19"/>
      <c r="F1438" s="43"/>
      <c r="G1438" s="19"/>
    </row>
    <row r="1439" spans="1:7">
      <c r="A1439" s="46"/>
      <c r="B1439" s="19"/>
      <c r="C1439" s="19"/>
      <c r="D1439" s="19"/>
      <c r="E1439" s="19"/>
      <c r="F1439" s="43"/>
      <c r="G1439" s="19"/>
    </row>
    <row r="1440" spans="1:7">
      <c r="A1440" s="46"/>
      <c r="B1440" s="19"/>
      <c r="C1440" s="19"/>
      <c r="D1440" s="19"/>
      <c r="E1440" s="19"/>
      <c r="F1440" s="43"/>
      <c r="G1440" s="19"/>
    </row>
    <row r="1441" spans="1:7">
      <c r="A1441" s="46"/>
      <c r="B1441" s="19"/>
      <c r="C1441" s="19"/>
      <c r="D1441" s="19"/>
      <c r="E1441" s="19"/>
      <c r="F1441" s="43"/>
      <c r="G1441" s="19"/>
    </row>
    <row r="1442" spans="1:7">
      <c r="A1442" s="46"/>
      <c r="B1442" s="19"/>
      <c r="C1442" s="19"/>
      <c r="D1442" s="19"/>
      <c r="E1442" s="19"/>
      <c r="F1442" s="43"/>
      <c r="G1442" s="19"/>
    </row>
    <row r="1443" spans="1:7">
      <c r="A1443" s="46"/>
      <c r="B1443" s="19"/>
      <c r="C1443" s="19"/>
      <c r="D1443" s="19"/>
      <c r="E1443" s="19"/>
      <c r="F1443" s="43"/>
      <c r="G1443" s="19"/>
    </row>
    <row r="1444" spans="1:7">
      <c r="A1444" s="46"/>
      <c r="B1444" s="19"/>
      <c r="C1444" s="19"/>
      <c r="D1444" s="19"/>
      <c r="E1444" s="19"/>
      <c r="F1444" s="43"/>
      <c r="G1444" s="19"/>
    </row>
    <row r="1445" spans="1:7">
      <c r="A1445" s="46"/>
      <c r="B1445" s="19"/>
      <c r="C1445" s="19"/>
      <c r="D1445" s="19"/>
      <c r="E1445" s="19"/>
      <c r="F1445" s="43"/>
      <c r="G1445" s="19"/>
    </row>
    <row r="1446" spans="1:7">
      <c r="A1446" s="46"/>
      <c r="B1446" s="19"/>
      <c r="C1446" s="19"/>
      <c r="D1446" s="19"/>
      <c r="E1446" s="19"/>
      <c r="F1446" s="43"/>
      <c r="G1446" s="19"/>
    </row>
    <row r="1447" spans="1:7">
      <c r="A1447" s="46"/>
      <c r="B1447" s="19"/>
      <c r="C1447" s="19"/>
      <c r="D1447" s="19"/>
      <c r="E1447" s="19"/>
      <c r="F1447" s="43"/>
      <c r="G1447" s="19"/>
    </row>
    <row r="1448" spans="1:7">
      <c r="A1448" s="46"/>
      <c r="B1448" s="19"/>
      <c r="C1448" s="19"/>
      <c r="D1448" s="19"/>
      <c r="E1448" s="19"/>
      <c r="F1448" s="43"/>
      <c r="G1448" s="19"/>
    </row>
    <row r="1449" spans="1:7">
      <c r="A1449" s="46"/>
      <c r="B1449" s="19"/>
      <c r="C1449" s="19"/>
      <c r="D1449" s="19"/>
      <c r="E1449" s="19"/>
      <c r="F1449" s="43"/>
      <c r="G1449" s="19"/>
    </row>
    <row r="1450" spans="1:7">
      <c r="A1450" s="46"/>
      <c r="B1450" s="19"/>
      <c r="C1450" s="19"/>
      <c r="D1450" s="19"/>
      <c r="E1450" s="19"/>
      <c r="F1450" s="43"/>
      <c r="G1450" s="19"/>
    </row>
    <row r="1451" spans="1:7">
      <c r="A1451" s="46"/>
      <c r="B1451" s="19"/>
      <c r="C1451" s="19"/>
      <c r="D1451" s="19"/>
      <c r="E1451" s="19"/>
      <c r="F1451" s="43"/>
      <c r="G1451" s="19"/>
    </row>
    <row r="1452" spans="1:7">
      <c r="A1452" s="46"/>
      <c r="B1452" s="19"/>
      <c r="C1452" s="19"/>
      <c r="D1452" s="19"/>
      <c r="E1452" s="19"/>
      <c r="F1452" s="43"/>
      <c r="G1452" s="19"/>
    </row>
    <row r="1453" spans="1:7">
      <c r="A1453" s="46"/>
      <c r="B1453" s="19"/>
      <c r="C1453" s="19"/>
      <c r="D1453" s="19"/>
      <c r="E1453" s="19"/>
      <c r="F1453" s="43"/>
      <c r="G1453" s="19"/>
    </row>
    <row r="1454" spans="1:7">
      <c r="A1454" s="46"/>
      <c r="B1454" s="19"/>
      <c r="C1454" s="19"/>
      <c r="D1454" s="19"/>
      <c r="E1454" s="19"/>
      <c r="F1454" s="43"/>
      <c r="G1454" s="19"/>
    </row>
    <row r="1455" spans="1:7">
      <c r="A1455" s="46"/>
      <c r="B1455" s="19"/>
      <c r="C1455" s="19"/>
      <c r="D1455" s="19"/>
      <c r="E1455" s="19"/>
      <c r="F1455" s="43"/>
      <c r="G1455" s="19"/>
    </row>
    <row r="1456" spans="1:7">
      <c r="A1456" s="46"/>
      <c r="B1456" s="19"/>
      <c r="C1456" s="19"/>
      <c r="D1456" s="19"/>
      <c r="E1456" s="19"/>
      <c r="F1456" s="43"/>
      <c r="G1456" s="19"/>
    </row>
    <row r="1457" spans="1:7">
      <c r="A1457" s="46"/>
      <c r="B1457" s="19"/>
      <c r="C1457" s="19"/>
      <c r="D1457" s="19"/>
      <c r="E1457" s="19"/>
      <c r="F1457" s="43"/>
      <c r="G1457" s="19"/>
    </row>
    <row r="1458" spans="1:7">
      <c r="A1458" s="46"/>
      <c r="B1458" s="19"/>
      <c r="C1458" s="19"/>
      <c r="D1458" s="19"/>
      <c r="E1458" s="19"/>
      <c r="F1458" s="43"/>
      <c r="G1458" s="19"/>
    </row>
    <row r="1459" spans="1:7">
      <c r="A1459" s="46"/>
      <c r="B1459" s="19"/>
      <c r="C1459" s="19"/>
      <c r="D1459" s="19"/>
      <c r="E1459" s="19"/>
      <c r="F1459" s="43"/>
      <c r="G1459" s="19"/>
    </row>
    <row r="1460" spans="1:7">
      <c r="A1460" s="46"/>
      <c r="B1460" s="19"/>
      <c r="C1460" s="19"/>
      <c r="D1460" s="19"/>
      <c r="E1460" s="19"/>
      <c r="F1460" s="43"/>
      <c r="G1460" s="19"/>
    </row>
    <row r="1461" spans="1:7">
      <c r="A1461" s="46"/>
      <c r="B1461" s="19"/>
      <c r="C1461" s="19"/>
      <c r="D1461" s="19"/>
      <c r="E1461" s="19"/>
      <c r="F1461" s="43"/>
      <c r="G1461" s="19"/>
    </row>
    <row r="1462" spans="1:7">
      <c r="A1462" s="46"/>
      <c r="B1462" s="19"/>
      <c r="C1462" s="19"/>
      <c r="D1462" s="19"/>
      <c r="E1462" s="19"/>
      <c r="F1462" s="43"/>
      <c r="G1462" s="19"/>
    </row>
    <row r="1463" spans="1:7">
      <c r="A1463" s="46"/>
      <c r="B1463" s="19"/>
      <c r="C1463" s="19"/>
      <c r="D1463" s="19"/>
      <c r="E1463" s="19"/>
      <c r="F1463" s="43"/>
      <c r="G1463" s="19"/>
    </row>
    <row r="1464" spans="1:7">
      <c r="A1464" s="46"/>
      <c r="B1464" s="19"/>
      <c r="C1464" s="19"/>
      <c r="D1464" s="19"/>
      <c r="E1464" s="19"/>
      <c r="F1464" s="43"/>
      <c r="G1464" s="19"/>
    </row>
    <row r="1465" spans="1:7">
      <c r="A1465" s="46"/>
      <c r="B1465" s="19"/>
      <c r="C1465" s="19"/>
      <c r="D1465" s="19"/>
      <c r="E1465" s="19"/>
      <c r="F1465" s="43"/>
      <c r="G1465" s="19"/>
    </row>
    <row r="1466" spans="1:7">
      <c r="A1466" s="46"/>
      <c r="B1466" s="19"/>
      <c r="C1466" s="19"/>
      <c r="D1466" s="19"/>
      <c r="E1466" s="19"/>
      <c r="F1466" s="43"/>
      <c r="G1466" s="19"/>
    </row>
    <row r="1467" spans="1:7">
      <c r="A1467" s="46"/>
      <c r="B1467" s="19"/>
      <c r="C1467" s="19"/>
      <c r="D1467" s="19"/>
      <c r="E1467" s="19"/>
      <c r="F1467" s="43"/>
      <c r="G1467" s="19"/>
    </row>
    <row r="1468" spans="1:7">
      <c r="A1468" s="46"/>
      <c r="B1468" s="19"/>
      <c r="C1468" s="19"/>
      <c r="D1468" s="19"/>
      <c r="E1468" s="19"/>
      <c r="F1468" s="43"/>
      <c r="G1468" s="19"/>
    </row>
    <row r="1469" spans="1:7">
      <c r="A1469" s="46"/>
      <c r="B1469" s="19"/>
      <c r="C1469" s="19"/>
      <c r="D1469" s="19"/>
      <c r="E1469" s="19"/>
      <c r="F1469" s="43"/>
      <c r="G1469" s="19"/>
    </row>
    <row r="1470" spans="1:7">
      <c r="A1470" s="46"/>
      <c r="B1470" s="19"/>
      <c r="C1470" s="19"/>
      <c r="D1470" s="19"/>
      <c r="E1470" s="19"/>
      <c r="F1470" s="43"/>
      <c r="G1470" s="19"/>
    </row>
    <row r="1471" spans="1:7">
      <c r="A1471" s="46"/>
      <c r="B1471" s="19"/>
      <c r="C1471" s="19"/>
      <c r="D1471" s="19"/>
      <c r="E1471" s="19"/>
      <c r="F1471" s="43"/>
      <c r="G1471" s="19"/>
    </row>
    <row r="1472" spans="1:7">
      <c r="A1472" s="46"/>
      <c r="B1472" s="19"/>
      <c r="C1472" s="19"/>
      <c r="D1472" s="19"/>
      <c r="E1472" s="19"/>
      <c r="F1472" s="43"/>
      <c r="G1472" s="19"/>
    </row>
    <row r="1473" spans="1:7">
      <c r="A1473" s="46"/>
      <c r="B1473" s="19"/>
      <c r="C1473" s="19"/>
      <c r="D1473" s="19"/>
      <c r="E1473" s="19"/>
      <c r="F1473" s="43"/>
      <c r="G1473" s="19"/>
    </row>
    <row r="1474" spans="1:7">
      <c r="A1474" s="46"/>
      <c r="B1474" s="19"/>
      <c r="C1474" s="19"/>
      <c r="D1474" s="19"/>
      <c r="E1474" s="19"/>
      <c r="F1474" s="43"/>
      <c r="G1474" s="19"/>
    </row>
    <row r="1475" spans="1:7">
      <c r="A1475" s="46"/>
      <c r="B1475" s="19"/>
      <c r="C1475" s="19"/>
      <c r="D1475" s="19"/>
      <c r="E1475" s="19"/>
      <c r="F1475" s="43"/>
      <c r="G1475" s="19"/>
    </row>
    <row r="1476" spans="1:7">
      <c r="A1476" s="46"/>
      <c r="B1476" s="19"/>
      <c r="C1476" s="19"/>
      <c r="D1476" s="19"/>
      <c r="E1476" s="19"/>
      <c r="F1476" s="43"/>
      <c r="G1476" s="19"/>
    </row>
    <row r="1477" spans="1:7">
      <c r="A1477" s="46"/>
      <c r="B1477" s="19"/>
      <c r="C1477" s="19"/>
      <c r="D1477" s="19"/>
      <c r="E1477" s="19"/>
      <c r="F1477" s="43"/>
      <c r="G1477" s="19"/>
    </row>
    <row r="1478" spans="1:7">
      <c r="A1478" s="46"/>
      <c r="B1478" s="19"/>
      <c r="C1478" s="19"/>
      <c r="D1478" s="19"/>
      <c r="E1478" s="19"/>
      <c r="F1478" s="43"/>
      <c r="G1478" s="19"/>
    </row>
    <row r="1479" spans="1:7">
      <c r="A1479" s="46"/>
      <c r="B1479" s="19"/>
      <c r="C1479" s="19"/>
      <c r="D1479" s="19"/>
      <c r="E1479" s="19"/>
      <c r="F1479" s="43"/>
      <c r="G1479" s="19"/>
    </row>
    <row r="1480" spans="1:7">
      <c r="A1480" s="46"/>
      <c r="B1480" s="19"/>
      <c r="C1480" s="19"/>
      <c r="D1480" s="19"/>
      <c r="E1480" s="19"/>
      <c r="F1480" s="43"/>
      <c r="G1480" s="19"/>
    </row>
    <row r="1481" spans="1:7">
      <c r="A1481" s="46"/>
      <c r="B1481" s="19"/>
      <c r="C1481" s="19"/>
      <c r="D1481" s="19"/>
      <c r="E1481" s="19"/>
      <c r="F1481" s="43"/>
      <c r="G1481" s="19"/>
    </row>
    <row r="1482" spans="1:7">
      <c r="A1482" s="46"/>
      <c r="B1482" s="19"/>
      <c r="C1482" s="19"/>
      <c r="D1482" s="19"/>
      <c r="E1482" s="19"/>
      <c r="F1482" s="43"/>
      <c r="G1482" s="19"/>
    </row>
    <row r="1483" spans="1:7">
      <c r="A1483" s="46"/>
      <c r="B1483" s="19"/>
      <c r="C1483" s="19"/>
      <c r="D1483" s="19"/>
      <c r="E1483" s="19"/>
      <c r="F1483" s="43"/>
      <c r="G1483" s="19"/>
    </row>
    <row r="1484" spans="1:7">
      <c r="A1484" s="46"/>
      <c r="B1484" s="19"/>
      <c r="C1484" s="19"/>
      <c r="D1484" s="19"/>
      <c r="E1484" s="19"/>
      <c r="F1484" s="43"/>
      <c r="G1484" s="19"/>
    </row>
    <row r="1485" spans="1:7">
      <c r="A1485" s="46"/>
      <c r="B1485" s="19"/>
      <c r="C1485" s="19"/>
      <c r="D1485" s="19"/>
      <c r="E1485" s="19"/>
      <c r="F1485" s="43"/>
      <c r="G1485" s="19"/>
    </row>
    <row r="1486" spans="1:7">
      <c r="A1486" s="46"/>
      <c r="B1486" s="19"/>
      <c r="C1486" s="19"/>
      <c r="D1486" s="19"/>
      <c r="E1486" s="19"/>
      <c r="F1486" s="43"/>
      <c r="G1486" s="19"/>
    </row>
    <row r="1487" spans="1:7">
      <c r="A1487" s="46"/>
      <c r="B1487" s="19"/>
      <c r="C1487" s="19"/>
      <c r="D1487" s="19"/>
      <c r="E1487" s="19"/>
      <c r="F1487" s="43"/>
      <c r="G1487" s="19"/>
    </row>
    <row r="1488" spans="1:7">
      <c r="A1488" s="46"/>
      <c r="B1488" s="19"/>
      <c r="C1488" s="19"/>
      <c r="D1488" s="19"/>
      <c r="E1488" s="19"/>
      <c r="F1488" s="43"/>
      <c r="G1488" s="19"/>
    </row>
    <row r="1489" spans="1:7">
      <c r="A1489" s="46"/>
      <c r="B1489" s="19"/>
      <c r="C1489" s="19"/>
      <c r="D1489" s="19"/>
      <c r="E1489" s="19"/>
      <c r="F1489" s="43"/>
      <c r="G1489" s="19"/>
    </row>
    <row r="1490" spans="1:7">
      <c r="A1490" s="46"/>
      <c r="B1490" s="19"/>
      <c r="C1490" s="19"/>
      <c r="D1490" s="19"/>
      <c r="E1490" s="19"/>
      <c r="F1490" s="43"/>
      <c r="G1490" s="19"/>
    </row>
    <row r="1491" spans="1:7">
      <c r="A1491" s="46"/>
      <c r="B1491" s="19"/>
      <c r="C1491" s="19"/>
      <c r="D1491" s="19"/>
      <c r="E1491" s="19"/>
      <c r="F1491" s="43"/>
      <c r="G1491" s="19"/>
    </row>
    <row r="1492" spans="1:7">
      <c r="A1492" s="46"/>
      <c r="B1492" s="19"/>
      <c r="C1492" s="19"/>
      <c r="D1492" s="19"/>
      <c r="E1492" s="19"/>
      <c r="F1492" s="43"/>
      <c r="G1492" s="19"/>
    </row>
    <row r="1493" spans="1:7">
      <c r="A1493" s="46"/>
      <c r="B1493" s="19"/>
      <c r="C1493" s="19"/>
      <c r="D1493" s="19"/>
      <c r="E1493" s="19"/>
      <c r="F1493" s="43"/>
      <c r="G1493" s="19"/>
    </row>
    <row r="1494" spans="1:7">
      <c r="A1494" s="46"/>
      <c r="B1494" s="19"/>
      <c r="C1494" s="19"/>
      <c r="D1494" s="19"/>
      <c r="E1494" s="19"/>
      <c r="F1494" s="43"/>
      <c r="G1494" s="19"/>
    </row>
    <row r="1495" spans="1:7">
      <c r="A1495" s="46"/>
      <c r="B1495" s="19"/>
      <c r="C1495" s="19"/>
      <c r="D1495" s="19"/>
      <c r="E1495" s="19"/>
      <c r="F1495" s="43"/>
      <c r="G1495" s="19"/>
    </row>
    <row r="1496" spans="1:7">
      <c r="A1496" s="46"/>
      <c r="B1496" s="19"/>
      <c r="C1496" s="19"/>
      <c r="D1496" s="19"/>
      <c r="E1496" s="19"/>
      <c r="F1496" s="43"/>
      <c r="G1496" s="19"/>
    </row>
    <row r="1497" spans="1:7">
      <c r="A1497" s="46"/>
      <c r="B1497" s="19"/>
      <c r="C1497" s="19"/>
      <c r="D1497" s="19"/>
      <c r="E1497" s="19"/>
      <c r="F1497" s="43"/>
      <c r="G1497" s="19"/>
    </row>
    <row r="1498" spans="1:7">
      <c r="A1498" s="46"/>
      <c r="B1498" s="19"/>
      <c r="C1498" s="19"/>
      <c r="D1498" s="19"/>
      <c r="E1498" s="19"/>
      <c r="F1498" s="43"/>
      <c r="G1498" s="19"/>
    </row>
    <row r="1499" spans="1:7">
      <c r="A1499" s="46"/>
      <c r="B1499" s="19"/>
      <c r="C1499" s="19"/>
      <c r="D1499" s="19"/>
      <c r="E1499" s="19"/>
      <c r="F1499" s="43"/>
      <c r="G1499" s="19"/>
    </row>
    <row r="1500" spans="1:7">
      <c r="A1500" s="46"/>
      <c r="B1500" s="19"/>
      <c r="C1500" s="19"/>
      <c r="D1500" s="19"/>
      <c r="E1500" s="19"/>
      <c r="F1500" s="43"/>
      <c r="G1500" s="19"/>
    </row>
    <row r="1501" spans="1:7">
      <c r="A1501" s="46"/>
      <c r="B1501" s="19"/>
      <c r="C1501" s="19"/>
      <c r="D1501" s="19"/>
      <c r="E1501" s="19"/>
      <c r="F1501" s="43"/>
      <c r="G1501" s="19"/>
    </row>
    <row r="1502" spans="1:7">
      <c r="A1502" s="46"/>
      <c r="B1502" s="19"/>
      <c r="C1502" s="19"/>
      <c r="D1502" s="19"/>
      <c r="E1502" s="19"/>
      <c r="F1502" s="43"/>
      <c r="G1502" s="19"/>
    </row>
    <row r="1503" spans="1:7">
      <c r="A1503" s="46"/>
      <c r="B1503" s="19"/>
      <c r="C1503" s="19"/>
      <c r="D1503" s="19"/>
      <c r="E1503" s="19"/>
      <c r="F1503" s="43"/>
      <c r="G1503" s="19"/>
    </row>
    <row r="1504" spans="1:7">
      <c r="A1504" s="46"/>
      <c r="B1504" s="19"/>
      <c r="C1504" s="19"/>
      <c r="D1504" s="19"/>
      <c r="E1504" s="19"/>
      <c r="F1504" s="43"/>
      <c r="G1504" s="19"/>
    </row>
    <row r="1505" spans="1:7">
      <c r="A1505" s="46"/>
      <c r="B1505" s="19"/>
      <c r="C1505" s="19"/>
      <c r="D1505" s="19"/>
      <c r="E1505" s="19"/>
      <c r="F1505" s="43"/>
      <c r="G1505" s="19"/>
    </row>
    <row r="1506" spans="1:7">
      <c r="A1506" s="46"/>
      <c r="B1506" s="19"/>
      <c r="C1506" s="19"/>
      <c r="D1506" s="19"/>
      <c r="E1506" s="19"/>
      <c r="F1506" s="43"/>
      <c r="G1506" s="19"/>
    </row>
    <row r="1507" spans="1:7">
      <c r="A1507" s="46"/>
      <c r="B1507" s="19"/>
      <c r="C1507" s="19"/>
      <c r="D1507" s="19"/>
      <c r="E1507" s="19"/>
      <c r="F1507" s="43"/>
      <c r="G1507" s="19"/>
    </row>
    <row r="1508" spans="1:7">
      <c r="A1508" s="46"/>
      <c r="B1508" s="19"/>
      <c r="C1508" s="19"/>
      <c r="D1508" s="19"/>
      <c r="E1508" s="19"/>
      <c r="F1508" s="43"/>
      <c r="G1508" s="19"/>
    </row>
    <row r="1509" spans="1:7">
      <c r="A1509" s="46"/>
      <c r="B1509" s="19"/>
      <c r="C1509" s="19"/>
      <c r="D1509" s="19"/>
      <c r="E1509" s="19"/>
      <c r="F1509" s="43"/>
      <c r="G1509" s="19"/>
    </row>
    <row r="1510" spans="1:7">
      <c r="A1510" s="46"/>
      <c r="B1510" s="19"/>
      <c r="C1510" s="19"/>
      <c r="D1510" s="19"/>
      <c r="E1510" s="19"/>
      <c r="F1510" s="43"/>
      <c r="G1510" s="19"/>
    </row>
    <row r="1511" spans="1:7">
      <c r="A1511" s="46"/>
      <c r="B1511" s="19"/>
      <c r="C1511" s="19"/>
      <c r="D1511" s="19"/>
      <c r="E1511" s="19"/>
      <c r="F1511" s="43"/>
      <c r="G1511" s="19"/>
    </row>
    <row r="1512" spans="1:7">
      <c r="A1512" s="46"/>
      <c r="B1512" s="19"/>
      <c r="C1512" s="19"/>
      <c r="D1512" s="19"/>
      <c r="E1512" s="19"/>
      <c r="F1512" s="43"/>
      <c r="G1512" s="19"/>
    </row>
    <row r="1513" spans="1:7">
      <c r="A1513" s="46"/>
      <c r="B1513" s="19"/>
      <c r="C1513" s="19"/>
      <c r="D1513" s="19"/>
      <c r="E1513" s="19"/>
      <c r="F1513" s="43"/>
      <c r="G1513" s="19"/>
    </row>
    <row r="1514" spans="1:7">
      <c r="A1514" s="46"/>
      <c r="B1514" s="19"/>
      <c r="C1514" s="19"/>
      <c r="D1514" s="19"/>
      <c r="E1514" s="19"/>
      <c r="F1514" s="43"/>
      <c r="G1514" s="19"/>
    </row>
    <row r="1515" spans="1:7">
      <c r="A1515" s="46"/>
      <c r="B1515" s="19"/>
      <c r="C1515" s="19"/>
      <c r="D1515" s="19"/>
      <c r="E1515" s="19"/>
      <c r="F1515" s="43"/>
      <c r="G1515" s="19"/>
    </row>
    <row r="1516" spans="1:7">
      <c r="A1516" s="46"/>
      <c r="B1516" s="19"/>
      <c r="C1516" s="19"/>
      <c r="D1516" s="19"/>
      <c r="E1516" s="19"/>
      <c r="F1516" s="43"/>
      <c r="G1516" s="19"/>
    </row>
    <row r="1517" spans="1:7">
      <c r="A1517" s="46"/>
      <c r="B1517" s="19"/>
      <c r="C1517" s="19"/>
      <c r="D1517" s="19"/>
      <c r="E1517" s="19"/>
      <c r="F1517" s="43"/>
      <c r="G1517" s="19"/>
    </row>
    <row r="1518" spans="1:7">
      <c r="A1518" s="46"/>
      <c r="B1518" s="19"/>
      <c r="C1518" s="19"/>
      <c r="D1518" s="19"/>
      <c r="E1518" s="19"/>
      <c r="F1518" s="43"/>
      <c r="G1518" s="19"/>
    </row>
    <row r="1519" spans="1:7">
      <c r="A1519" s="46"/>
      <c r="B1519" s="19"/>
      <c r="C1519" s="19"/>
      <c r="D1519" s="19"/>
      <c r="E1519" s="19"/>
      <c r="F1519" s="43"/>
      <c r="G1519" s="19"/>
    </row>
    <row r="1520" spans="1:7">
      <c r="A1520" s="46"/>
      <c r="B1520" s="19"/>
      <c r="C1520" s="19"/>
      <c r="D1520" s="19"/>
      <c r="E1520" s="19"/>
      <c r="F1520" s="43"/>
      <c r="G1520" s="19"/>
    </row>
    <row r="1521" spans="1:7">
      <c r="A1521" s="46"/>
      <c r="B1521" s="19"/>
      <c r="C1521" s="19"/>
      <c r="D1521" s="19"/>
      <c r="E1521" s="19"/>
      <c r="F1521" s="43"/>
      <c r="G1521" s="19"/>
    </row>
    <row r="1522" spans="1:7">
      <c r="A1522" s="46"/>
      <c r="B1522" s="19"/>
      <c r="C1522" s="19"/>
      <c r="D1522" s="19"/>
      <c r="E1522" s="19"/>
      <c r="F1522" s="43"/>
      <c r="G1522" s="19"/>
    </row>
    <row r="1523" spans="1:7">
      <c r="A1523" s="46"/>
      <c r="B1523" s="19"/>
      <c r="C1523" s="19"/>
      <c r="D1523" s="19"/>
      <c r="E1523" s="19"/>
      <c r="F1523" s="43"/>
      <c r="G1523" s="19"/>
    </row>
    <row r="1524" spans="1:7">
      <c r="A1524" s="46"/>
      <c r="B1524" s="19"/>
      <c r="C1524" s="19"/>
      <c r="D1524" s="19"/>
      <c r="E1524" s="19"/>
      <c r="F1524" s="43"/>
      <c r="G1524" s="19"/>
    </row>
    <row r="1525" spans="1:7">
      <c r="A1525" s="46"/>
      <c r="B1525" s="19"/>
      <c r="C1525" s="19"/>
      <c r="D1525" s="19"/>
      <c r="E1525" s="19"/>
      <c r="F1525" s="43"/>
      <c r="G1525" s="19"/>
    </row>
    <row r="1526" spans="1:7">
      <c r="A1526" s="46"/>
      <c r="B1526" s="19"/>
      <c r="C1526" s="19"/>
      <c r="D1526" s="19"/>
      <c r="E1526" s="19"/>
      <c r="F1526" s="43"/>
      <c r="G1526" s="19"/>
    </row>
    <row r="1527" spans="1:7">
      <c r="A1527" s="46"/>
      <c r="B1527" s="19"/>
      <c r="C1527" s="19"/>
      <c r="D1527" s="19"/>
      <c r="E1527" s="19"/>
      <c r="F1527" s="43"/>
      <c r="G1527" s="19"/>
    </row>
    <row r="1528" spans="1:7">
      <c r="A1528" s="46"/>
      <c r="B1528" s="19"/>
      <c r="C1528" s="19"/>
      <c r="D1528" s="19"/>
      <c r="E1528" s="19"/>
      <c r="F1528" s="43"/>
      <c r="G1528" s="19"/>
    </row>
    <row r="1529" spans="1:7">
      <c r="A1529" s="46"/>
      <c r="B1529" s="19"/>
      <c r="C1529" s="19"/>
      <c r="D1529" s="19"/>
      <c r="E1529" s="19"/>
      <c r="F1529" s="43"/>
      <c r="G1529" s="19"/>
    </row>
    <row r="1530" spans="1:7">
      <c r="A1530" s="46"/>
      <c r="B1530" s="19"/>
      <c r="C1530" s="19"/>
      <c r="D1530" s="19"/>
      <c r="E1530" s="19"/>
      <c r="F1530" s="43"/>
      <c r="G1530" s="19"/>
    </row>
    <row r="1531" spans="1:7">
      <c r="A1531" s="46"/>
      <c r="B1531" s="19"/>
      <c r="C1531" s="19"/>
      <c r="D1531" s="19"/>
      <c r="E1531" s="19"/>
      <c r="F1531" s="43"/>
      <c r="G1531" s="19"/>
    </row>
    <row r="1532" spans="1:7">
      <c r="A1532" s="46"/>
      <c r="B1532" s="19"/>
      <c r="C1532" s="19"/>
      <c r="D1532" s="19"/>
      <c r="E1532" s="19"/>
      <c r="F1532" s="43"/>
      <c r="G1532" s="19"/>
    </row>
    <row r="1533" spans="1:7">
      <c r="A1533" s="46"/>
      <c r="B1533" s="19"/>
      <c r="C1533" s="19"/>
      <c r="D1533" s="19"/>
      <c r="E1533" s="19"/>
      <c r="F1533" s="43"/>
      <c r="G1533" s="19"/>
    </row>
    <row r="1534" spans="1:7">
      <c r="A1534" s="46"/>
      <c r="B1534" s="19"/>
      <c r="C1534" s="19"/>
      <c r="D1534" s="19"/>
      <c r="E1534" s="19"/>
      <c r="F1534" s="43"/>
      <c r="G1534" s="19"/>
    </row>
    <row r="1535" spans="1:7">
      <c r="A1535" s="46"/>
      <c r="B1535" s="19"/>
      <c r="C1535" s="19"/>
      <c r="D1535" s="19"/>
      <c r="E1535" s="19"/>
      <c r="F1535" s="43"/>
      <c r="G1535" s="19"/>
    </row>
    <row r="1536" spans="1:7">
      <c r="A1536" s="46"/>
      <c r="B1536" s="19"/>
      <c r="C1536" s="19"/>
      <c r="D1536" s="19"/>
      <c r="E1536" s="19"/>
      <c r="F1536" s="43"/>
      <c r="G1536" s="19"/>
    </row>
    <row r="1537" spans="1:7">
      <c r="A1537" s="46"/>
      <c r="B1537" s="19"/>
      <c r="C1537" s="19"/>
      <c r="D1537" s="19"/>
      <c r="E1537" s="19"/>
      <c r="F1537" s="43"/>
      <c r="G1537" s="19"/>
    </row>
    <row r="1538" spans="1:7">
      <c r="A1538" s="46"/>
      <c r="B1538" s="19"/>
      <c r="C1538" s="19"/>
      <c r="D1538" s="19"/>
      <c r="E1538" s="19"/>
      <c r="F1538" s="43"/>
      <c r="G1538" s="19"/>
    </row>
    <row r="1539" spans="1:7">
      <c r="A1539" s="46"/>
      <c r="B1539" s="19"/>
      <c r="C1539" s="19"/>
      <c r="D1539" s="19"/>
      <c r="E1539" s="19"/>
      <c r="F1539" s="43"/>
      <c r="G1539" s="19"/>
    </row>
    <row r="1540" spans="1:7">
      <c r="A1540" s="46"/>
      <c r="B1540" s="19"/>
      <c r="C1540" s="19"/>
      <c r="D1540" s="19"/>
      <c r="E1540" s="19"/>
      <c r="F1540" s="43"/>
      <c r="G1540" s="19"/>
    </row>
    <row r="1541" spans="1:7">
      <c r="A1541" s="46"/>
      <c r="B1541" s="19"/>
      <c r="C1541" s="19"/>
      <c r="D1541" s="19"/>
      <c r="E1541" s="19"/>
      <c r="F1541" s="43"/>
      <c r="G1541" s="19"/>
    </row>
    <row r="1542" spans="1:7">
      <c r="A1542" s="46"/>
      <c r="B1542" s="19"/>
      <c r="C1542" s="19"/>
      <c r="D1542" s="19"/>
      <c r="E1542" s="19"/>
      <c r="F1542" s="43"/>
      <c r="G1542" s="19"/>
    </row>
    <row r="1543" spans="1:7">
      <c r="A1543" s="46"/>
      <c r="B1543" s="19"/>
      <c r="C1543" s="19"/>
      <c r="D1543" s="19"/>
      <c r="E1543" s="19"/>
      <c r="F1543" s="43"/>
      <c r="G1543" s="19"/>
    </row>
    <row r="1544" spans="1:7">
      <c r="A1544" s="46"/>
      <c r="B1544" s="19"/>
      <c r="C1544" s="19"/>
      <c r="D1544" s="19"/>
      <c r="E1544" s="19"/>
      <c r="F1544" s="43"/>
      <c r="G1544" s="19"/>
    </row>
    <row r="1545" spans="1:7">
      <c r="A1545" s="46"/>
      <c r="B1545" s="19"/>
      <c r="C1545" s="19"/>
      <c r="D1545" s="19"/>
      <c r="E1545" s="19"/>
      <c r="F1545" s="43"/>
      <c r="G1545" s="19"/>
    </row>
    <row r="1546" spans="1:7">
      <c r="A1546" s="46"/>
      <c r="B1546" s="19"/>
      <c r="C1546" s="19"/>
      <c r="D1546" s="19"/>
      <c r="E1546" s="19"/>
      <c r="F1546" s="43"/>
      <c r="G1546" s="19"/>
    </row>
    <row r="1547" spans="1:7">
      <c r="A1547" s="46"/>
      <c r="B1547" s="19"/>
      <c r="C1547" s="19"/>
      <c r="D1547" s="19"/>
      <c r="E1547" s="19"/>
      <c r="F1547" s="43"/>
      <c r="G1547" s="19"/>
    </row>
    <row r="1548" spans="1:7">
      <c r="A1548" s="46"/>
      <c r="B1548" s="19"/>
      <c r="C1548" s="19"/>
      <c r="D1548" s="19"/>
      <c r="E1548" s="19"/>
      <c r="F1548" s="43"/>
      <c r="G1548" s="19"/>
    </row>
    <row r="1549" spans="1:7">
      <c r="A1549" s="46"/>
      <c r="B1549" s="19"/>
      <c r="C1549" s="19"/>
      <c r="D1549" s="19"/>
      <c r="E1549" s="19"/>
      <c r="F1549" s="43"/>
      <c r="G1549" s="19"/>
    </row>
    <row r="1550" spans="1:7">
      <c r="A1550" s="46"/>
      <c r="B1550" s="19"/>
      <c r="C1550" s="19"/>
      <c r="D1550" s="19"/>
      <c r="E1550" s="19"/>
      <c r="F1550" s="43"/>
      <c r="G1550" s="19"/>
    </row>
    <row r="1551" spans="1:7">
      <c r="A1551" s="46"/>
      <c r="B1551" s="19"/>
      <c r="C1551" s="19"/>
      <c r="D1551" s="19"/>
      <c r="E1551" s="19"/>
      <c r="F1551" s="43"/>
      <c r="G1551" s="19"/>
    </row>
    <row r="1552" spans="1:7">
      <c r="A1552" s="46"/>
      <c r="B1552" s="19"/>
      <c r="C1552" s="19"/>
      <c r="D1552" s="19"/>
      <c r="E1552" s="19"/>
      <c r="F1552" s="43"/>
      <c r="G1552" s="19"/>
    </row>
    <row r="1553" spans="1:7">
      <c r="A1553" s="46"/>
      <c r="B1553" s="19"/>
      <c r="C1553" s="19"/>
      <c r="D1553" s="19"/>
      <c r="E1553" s="19"/>
      <c r="F1553" s="43"/>
      <c r="G1553" s="19"/>
    </row>
    <row r="1554" spans="1:7">
      <c r="A1554" s="46"/>
      <c r="B1554" s="19"/>
      <c r="C1554" s="19"/>
      <c r="D1554" s="19"/>
      <c r="E1554" s="19"/>
      <c r="F1554" s="43"/>
      <c r="G1554" s="19"/>
    </row>
    <row r="1555" spans="1:7">
      <c r="A1555" s="46"/>
      <c r="B1555" s="19"/>
      <c r="C1555" s="19"/>
      <c r="D1555" s="19"/>
      <c r="E1555" s="19"/>
      <c r="F1555" s="43"/>
      <c r="G1555" s="19"/>
    </row>
    <row r="1556" spans="1:7">
      <c r="A1556" s="46"/>
      <c r="B1556" s="19"/>
      <c r="C1556" s="19"/>
      <c r="D1556" s="19"/>
      <c r="E1556" s="19"/>
      <c r="F1556" s="43"/>
      <c r="G1556" s="19"/>
    </row>
    <row r="1557" spans="1:7">
      <c r="A1557" s="46"/>
      <c r="B1557" s="19"/>
      <c r="C1557" s="19"/>
      <c r="D1557" s="19"/>
      <c r="E1557" s="19"/>
      <c r="F1557" s="43"/>
      <c r="G1557" s="19"/>
    </row>
    <row r="1558" spans="1:7">
      <c r="A1558" s="46"/>
      <c r="B1558" s="19"/>
      <c r="C1558" s="19"/>
      <c r="D1558" s="19"/>
      <c r="E1558" s="19"/>
      <c r="F1558" s="43"/>
      <c r="G1558" s="19"/>
    </row>
    <row r="1559" spans="1:7">
      <c r="A1559" s="46"/>
      <c r="B1559" s="19"/>
      <c r="C1559" s="19"/>
      <c r="D1559" s="19"/>
      <c r="E1559" s="19"/>
      <c r="F1559" s="43"/>
      <c r="G1559" s="19"/>
    </row>
    <row r="1560" spans="1:7">
      <c r="A1560" s="46"/>
      <c r="B1560" s="19"/>
      <c r="C1560" s="19"/>
      <c r="D1560" s="19"/>
      <c r="E1560" s="19"/>
      <c r="F1560" s="43"/>
      <c r="G1560" s="19"/>
    </row>
    <row r="1561" spans="1:7">
      <c r="A1561" s="46"/>
      <c r="B1561" s="19"/>
      <c r="C1561" s="19"/>
      <c r="D1561" s="19"/>
      <c r="E1561" s="19"/>
      <c r="F1561" s="43"/>
      <c r="G1561" s="19"/>
    </row>
    <row r="1562" spans="1:7">
      <c r="A1562" s="46"/>
      <c r="B1562" s="19"/>
      <c r="C1562" s="19"/>
      <c r="D1562" s="19"/>
      <c r="E1562" s="19"/>
      <c r="F1562" s="43"/>
      <c r="G1562" s="19"/>
    </row>
    <row r="1563" spans="1:7">
      <c r="A1563" s="46"/>
      <c r="B1563" s="19"/>
      <c r="C1563" s="19"/>
      <c r="D1563" s="19"/>
      <c r="E1563" s="19"/>
      <c r="F1563" s="43"/>
      <c r="G1563" s="19"/>
    </row>
    <row r="1564" spans="1:7">
      <c r="A1564" s="46"/>
      <c r="B1564" s="19"/>
      <c r="C1564" s="19"/>
      <c r="D1564" s="19"/>
      <c r="E1564" s="19"/>
      <c r="F1564" s="43"/>
      <c r="G1564" s="19"/>
    </row>
    <row r="1565" spans="1:7">
      <c r="A1565" s="46"/>
      <c r="B1565" s="19"/>
      <c r="C1565" s="19"/>
      <c r="D1565" s="19"/>
      <c r="E1565" s="19"/>
      <c r="F1565" s="43"/>
      <c r="G1565" s="19"/>
    </row>
    <row r="1566" spans="1:7">
      <c r="A1566" s="46"/>
      <c r="B1566" s="19"/>
      <c r="C1566" s="19"/>
      <c r="D1566" s="19"/>
      <c r="E1566" s="19"/>
      <c r="F1566" s="43"/>
      <c r="G1566" s="19"/>
    </row>
    <row r="1567" spans="1:7">
      <c r="A1567" s="46"/>
      <c r="B1567" s="19"/>
      <c r="C1567" s="19"/>
      <c r="D1567" s="19"/>
      <c r="E1567" s="19"/>
      <c r="F1567" s="43"/>
      <c r="G1567" s="19"/>
    </row>
    <row r="1568" spans="1:7">
      <c r="A1568" s="46"/>
      <c r="B1568" s="19"/>
      <c r="C1568" s="19"/>
      <c r="D1568" s="19"/>
      <c r="E1568" s="19"/>
      <c r="F1568" s="43"/>
      <c r="G1568" s="19"/>
    </row>
    <row r="1569" spans="1:7">
      <c r="A1569" s="46"/>
      <c r="B1569" s="19"/>
      <c r="C1569" s="19"/>
      <c r="D1569" s="19"/>
      <c r="E1569" s="19"/>
      <c r="F1569" s="43"/>
      <c r="G1569" s="19"/>
    </row>
    <row r="1570" spans="1:7">
      <c r="A1570" s="46"/>
      <c r="B1570" s="19"/>
      <c r="C1570" s="19"/>
      <c r="D1570" s="19"/>
      <c r="E1570" s="19"/>
      <c r="F1570" s="43"/>
      <c r="G1570" s="19"/>
    </row>
    <row r="1571" spans="1:7">
      <c r="A1571" s="46"/>
      <c r="B1571" s="19"/>
      <c r="C1571" s="19"/>
      <c r="D1571" s="19"/>
      <c r="E1571" s="19"/>
      <c r="F1571" s="43"/>
      <c r="G1571" s="19"/>
    </row>
    <row r="1572" spans="1:7">
      <c r="A1572" s="46"/>
      <c r="B1572" s="19"/>
      <c r="C1572" s="19"/>
      <c r="D1572" s="19"/>
      <c r="E1572" s="19"/>
      <c r="F1572" s="43"/>
      <c r="G1572" s="19"/>
    </row>
    <row r="1573" spans="1:7">
      <c r="A1573" s="46"/>
      <c r="B1573" s="19"/>
      <c r="C1573" s="19"/>
      <c r="D1573" s="19"/>
      <c r="E1573" s="19"/>
      <c r="F1573" s="43"/>
      <c r="G1573" s="19"/>
    </row>
    <row r="1574" spans="1:7">
      <c r="A1574" s="46"/>
      <c r="B1574" s="19"/>
      <c r="C1574" s="19"/>
      <c r="D1574" s="19"/>
      <c r="E1574" s="19"/>
      <c r="F1574" s="43"/>
      <c r="G1574" s="19"/>
    </row>
    <row r="1575" spans="1:7">
      <c r="A1575" s="46"/>
      <c r="B1575" s="19"/>
      <c r="C1575" s="19"/>
      <c r="D1575" s="19"/>
      <c r="E1575" s="19"/>
      <c r="F1575" s="43"/>
      <c r="G1575" s="19"/>
    </row>
    <row r="1576" spans="1:7">
      <c r="A1576" s="46"/>
      <c r="B1576" s="19"/>
      <c r="C1576" s="19"/>
      <c r="D1576" s="19"/>
      <c r="E1576" s="19"/>
      <c r="F1576" s="43"/>
      <c r="G1576" s="19"/>
    </row>
    <row r="1577" spans="1:7">
      <c r="A1577" s="46"/>
      <c r="B1577" s="19"/>
      <c r="C1577" s="19"/>
      <c r="D1577" s="19"/>
      <c r="E1577" s="19"/>
      <c r="F1577" s="43"/>
      <c r="G1577" s="19"/>
    </row>
    <row r="1578" spans="1:7">
      <c r="A1578" s="46"/>
      <c r="B1578" s="19"/>
      <c r="C1578" s="19"/>
      <c r="D1578" s="19"/>
      <c r="E1578" s="19"/>
      <c r="F1578" s="43"/>
      <c r="G1578" s="19"/>
    </row>
    <row r="1579" spans="1:7">
      <c r="A1579" s="46"/>
      <c r="B1579" s="19"/>
      <c r="C1579" s="19"/>
      <c r="D1579" s="19"/>
      <c r="E1579" s="19"/>
      <c r="F1579" s="43"/>
      <c r="G1579" s="19"/>
    </row>
    <row r="1580" spans="1:7">
      <c r="A1580" s="46"/>
      <c r="B1580" s="19"/>
      <c r="C1580" s="19"/>
      <c r="D1580" s="19"/>
      <c r="E1580" s="19"/>
      <c r="F1580" s="43"/>
      <c r="G1580" s="19"/>
    </row>
    <row r="1581" spans="1:7">
      <c r="A1581" s="46"/>
      <c r="B1581" s="19"/>
      <c r="C1581" s="19"/>
      <c r="D1581" s="19"/>
      <c r="E1581" s="19"/>
      <c r="F1581" s="43"/>
      <c r="G1581" s="19"/>
    </row>
    <row r="1582" spans="1:7">
      <c r="A1582" s="46"/>
      <c r="B1582" s="19"/>
      <c r="C1582" s="19"/>
      <c r="D1582" s="19"/>
      <c r="E1582" s="19"/>
      <c r="F1582" s="43"/>
      <c r="G1582" s="19"/>
    </row>
    <row r="1583" spans="1:7">
      <c r="A1583" s="46"/>
      <c r="B1583" s="19"/>
      <c r="C1583" s="19"/>
      <c r="D1583" s="19"/>
      <c r="E1583" s="19"/>
      <c r="F1583" s="43"/>
      <c r="G1583" s="19"/>
    </row>
    <row r="1584" spans="1:7">
      <c r="A1584" s="46"/>
      <c r="B1584" s="19"/>
      <c r="C1584" s="19"/>
      <c r="D1584" s="19"/>
      <c r="E1584" s="19"/>
      <c r="F1584" s="43"/>
      <c r="G1584" s="19"/>
    </row>
    <row r="1585" spans="1:7">
      <c r="A1585" s="46"/>
      <c r="B1585" s="19"/>
      <c r="C1585" s="19"/>
      <c r="D1585" s="19"/>
      <c r="E1585" s="19"/>
      <c r="F1585" s="43"/>
      <c r="G1585" s="19"/>
    </row>
    <row r="1586" spans="1:7">
      <c r="A1586" s="46"/>
      <c r="B1586" s="19"/>
      <c r="C1586" s="19"/>
      <c r="D1586" s="19"/>
      <c r="E1586" s="19"/>
      <c r="F1586" s="43"/>
      <c r="G1586" s="19"/>
    </row>
    <row r="1587" spans="1:7">
      <c r="A1587" s="46"/>
      <c r="B1587" s="19"/>
      <c r="C1587" s="19"/>
      <c r="D1587" s="19"/>
      <c r="E1587" s="19"/>
      <c r="F1587" s="43"/>
      <c r="G1587" s="19"/>
    </row>
    <row r="1588" spans="1:7">
      <c r="A1588" s="46"/>
      <c r="B1588" s="19"/>
      <c r="C1588" s="19"/>
      <c r="D1588" s="19"/>
      <c r="E1588" s="19"/>
      <c r="F1588" s="43"/>
      <c r="G1588" s="19"/>
    </row>
    <row r="1589" spans="1:7">
      <c r="A1589" s="46"/>
      <c r="B1589" s="19"/>
      <c r="C1589" s="19"/>
      <c r="D1589" s="19"/>
      <c r="E1589" s="19"/>
      <c r="F1589" s="43"/>
      <c r="G1589" s="19"/>
    </row>
    <row r="1590" spans="1:7">
      <c r="A1590" s="46"/>
      <c r="B1590" s="19"/>
      <c r="C1590" s="19"/>
      <c r="D1590" s="19"/>
      <c r="E1590" s="19"/>
      <c r="F1590" s="43"/>
      <c r="G1590" s="19"/>
    </row>
    <row r="1591" spans="1:7">
      <c r="A1591" s="39"/>
      <c r="B1591" s="40"/>
      <c r="C1591" s="40"/>
      <c r="D1591" s="40"/>
      <c r="E1591" s="40"/>
    </row>
    <row r="1592" spans="1:7">
      <c r="A1592" s="6"/>
      <c r="B1592" s="7"/>
      <c r="C1592" s="7"/>
      <c r="D1592" s="7"/>
      <c r="E1592" s="7"/>
    </row>
    <row r="1593" spans="1:7">
      <c r="A1593" s="6"/>
      <c r="B1593" s="7"/>
      <c r="C1593" s="7"/>
      <c r="D1593" s="7"/>
      <c r="E1593" s="7"/>
    </row>
    <row r="1594" spans="1:7">
      <c r="A1594" s="6"/>
      <c r="B1594" s="7"/>
      <c r="C1594" s="7"/>
      <c r="D1594" s="7"/>
      <c r="E1594" s="7"/>
    </row>
    <row r="1595" spans="1:7">
      <c r="A1595" s="6"/>
      <c r="B1595" s="7"/>
      <c r="C1595" s="7"/>
      <c r="D1595" s="7"/>
      <c r="E1595" s="7"/>
    </row>
    <row r="1596" spans="1:7">
      <c r="A1596" s="6"/>
      <c r="B1596" s="7"/>
      <c r="C1596" s="7"/>
      <c r="D1596" s="7"/>
      <c r="E1596" s="7"/>
    </row>
    <row r="1597" spans="1:7">
      <c r="A1597" s="6"/>
      <c r="B1597" s="7"/>
      <c r="C1597" s="7"/>
      <c r="D1597" s="7"/>
      <c r="E1597" s="7"/>
    </row>
    <row r="1598" spans="1:7">
      <c r="A1598" s="6"/>
      <c r="B1598" s="7"/>
      <c r="C1598" s="7"/>
      <c r="D1598" s="7"/>
      <c r="E1598" s="7"/>
    </row>
    <row r="1599" spans="1:7">
      <c r="A1599" s="6"/>
      <c r="B1599" s="7"/>
      <c r="C1599" s="7"/>
      <c r="D1599" s="7"/>
      <c r="E1599" s="7"/>
    </row>
    <row r="1600" spans="1:7">
      <c r="A1600" s="6"/>
      <c r="B1600" s="7"/>
      <c r="C1600" s="7"/>
      <c r="D1600" s="7"/>
      <c r="E1600" s="7"/>
    </row>
    <row r="1601" spans="1:5">
      <c r="A1601" s="6"/>
      <c r="B1601" s="7"/>
      <c r="C1601" s="7"/>
      <c r="D1601" s="7"/>
      <c r="E1601" s="7"/>
    </row>
    <row r="1602" spans="1:5">
      <c r="A1602" s="6"/>
      <c r="B1602" s="7"/>
      <c r="C1602" s="7"/>
      <c r="D1602" s="7"/>
      <c r="E1602" s="7"/>
    </row>
    <row r="1603" spans="1:5">
      <c r="A1603" s="6"/>
      <c r="B1603" s="7"/>
      <c r="C1603" s="7"/>
      <c r="D1603" s="7"/>
      <c r="E1603" s="7"/>
    </row>
    <row r="1604" spans="1:5">
      <c r="A1604" s="6"/>
      <c r="B1604" s="7"/>
      <c r="C1604" s="7"/>
      <c r="D1604" s="7"/>
      <c r="E1604" s="7"/>
    </row>
    <row r="1605" spans="1:5">
      <c r="A1605" s="6"/>
      <c r="B1605" s="7"/>
      <c r="C1605" s="7"/>
      <c r="D1605" s="7"/>
      <c r="E1605" s="7"/>
    </row>
    <row r="1606" spans="1:5">
      <c r="A1606" s="6"/>
      <c r="B1606" s="7"/>
      <c r="C1606" s="7"/>
      <c r="D1606" s="7"/>
      <c r="E1606" s="7"/>
    </row>
    <row r="1607" spans="1:5">
      <c r="A1607" s="6"/>
      <c r="B1607" s="7"/>
      <c r="C1607" s="7"/>
      <c r="D1607" s="7"/>
      <c r="E1607" s="7"/>
    </row>
    <row r="1608" spans="1:5">
      <c r="A1608" s="6"/>
      <c r="B1608" s="7"/>
      <c r="C1608" s="7"/>
      <c r="D1608" s="7"/>
      <c r="E1608" s="7"/>
    </row>
    <row r="1609" spans="1:5">
      <c r="A1609" s="6"/>
      <c r="B1609" s="7"/>
      <c r="C1609" s="7"/>
      <c r="D1609" s="7"/>
      <c r="E1609" s="7"/>
    </row>
    <row r="1610" spans="1:5">
      <c r="A1610" s="6"/>
      <c r="B1610" s="7"/>
      <c r="C1610" s="7"/>
      <c r="D1610" s="7"/>
      <c r="E1610" s="7"/>
    </row>
    <row r="1611" spans="1:5">
      <c r="A1611" s="6"/>
      <c r="B1611" s="7"/>
      <c r="C1611" s="7"/>
      <c r="D1611" s="7"/>
      <c r="E1611" s="7"/>
    </row>
    <row r="1612" spans="1:5">
      <c r="A1612" s="6"/>
      <c r="B1612" s="7"/>
      <c r="C1612" s="7"/>
      <c r="D1612" s="7"/>
      <c r="E1612" s="7"/>
    </row>
    <row r="1613" spans="1:5">
      <c r="A1613" s="6"/>
      <c r="B1613" s="7"/>
      <c r="C1613" s="7"/>
      <c r="D1613" s="7"/>
      <c r="E1613" s="7"/>
    </row>
    <row r="1614" spans="1:5">
      <c r="A1614" s="6"/>
      <c r="B1614" s="7"/>
      <c r="C1614" s="7"/>
      <c r="D1614" s="7"/>
      <c r="E1614" s="7"/>
    </row>
    <row r="1615" spans="1:5">
      <c r="A1615" s="6"/>
      <c r="B1615" s="7"/>
      <c r="C1615" s="7"/>
      <c r="D1615" s="7"/>
      <c r="E1615" s="7"/>
    </row>
    <row r="1616" spans="1:5">
      <c r="A1616" s="6"/>
      <c r="B1616" s="7"/>
      <c r="C1616" s="7"/>
      <c r="D1616" s="7"/>
      <c r="E1616" s="7"/>
    </row>
    <row r="1617" spans="1:5">
      <c r="A1617" s="6"/>
      <c r="B1617" s="7"/>
      <c r="C1617" s="7"/>
      <c r="D1617" s="7"/>
      <c r="E1617" s="7"/>
    </row>
    <row r="1618" spans="1:5">
      <c r="A1618" s="6"/>
      <c r="B1618" s="7"/>
      <c r="C1618" s="7"/>
      <c r="D1618" s="7"/>
      <c r="E1618" s="7"/>
    </row>
    <row r="1619" spans="1:5">
      <c r="A1619" s="6"/>
      <c r="B1619" s="7"/>
      <c r="C1619" s="7"/>
      <c r="D1619" s="7"/>
      <c r="E1619" s="7"/>
    </row>
    <row r="1620" spans="1:5">
      <c r="A1620" s="6"/>
      <c r="B1620" s="7"/>
      <c r="C1620" s="7"/>
      <c r="D1620" s="7"/>
      <c r="E1620" s="7"/>
    </row>
    <row r="1621" spans="1:5">
      <c r="A1621" s="6"/>
      <c r="B1621" s="7"/>
      <c r="C1621" s="7"/>
      <c r="D1621" s="7"/>
      <c r="E1621" s="7"/>
    </row>
    <row r="1622" spans="1:5">
      <c r="A1622" s="6"/>
      <c r="B1622" s="7"/>
      <c r="C1622" s="7"/>
      <c r="D1622" s="7"/>
      <c r="E1622" s="7"/>
    </row>
    <row r="1623" spans="1:5">
      <c r="A1623" s="6"/>
      <c r="B1623" s="7"/>
      <c r="C1623" s="7"/>
      <c r="D1623" s="7"/>
      <c r="E1623" s="7"/>
    </row>
    <row r="1624" spans="1:5">
      <c r="A1624" s="6"/>
      <c r="B1624" s="7"/>
      <c r="C1624" s="7"/>
      <c r="D1624" s="7"/>
      <c r="E1624" s="7"/>
    </row>
    <row r="1625" spans="1:5">
      <c r="A1625" s="6"/>
      <c r="B1625" s="7"/>
      <c r="C1625" s="7"/>
      <c r="D1625" s="7"/>
      <c r="E1625" s="7"/>
    </row>
    <row r="1626" spans="1:5">
      <c r="A1626" s="6"/>
      <c r="B1626" s="7"/>
      <c r="C1626" s="7"/>
      <c r="D1626" s="7"/>
      <c r="E1626" s="7"/>
    </row>
    <row r="1627" spans="1:5">
      <c r="A1627" s="6"/>
      <c r="B1627" s="7"/>
      <c r="C1627" s="7"/>
      <c r="D1627" s="7"/>
      <c r="E1627" s="7"/>
    </row>
    <row r="1628" spans="1:5">
      <c r="A1628" s="6"/>
      <c r="B1628" s="7"/>
      <c r="C1628" s="7"/>
      <c r="D1628" s="7"/>
      <c r="E1628" s="7"/>
    </row>
    <row r="1629" spans="1:5">
      <c r="A1629" s="6"/>
      <c r="B1629" s="7"/>
      <c r="C1629" s="7"/>
      <c r="D1629" s="7"/>
      <c r="E1629" s="7"/>
    </row>
    <row r="1630" spans="1:5">
      <c r="A1630" s="6"/>
      <c r="B1630" s="7"/>
      <c r="C1630" s="7"/>
      <c r="D1630" s="7"/>
      <c r="E1630" s="7"/>
    </row>
    <row r="1631" spans="1:5">
      <c r="A1631" s="6"/>
      <c r="B1631" s="7"/>
      <c r="C1631" s="7"/>
      <c r="D1631" s="7"/>
      <c r="E1631" s="7"/>
    </row>
    <row r="1632" spans="1:5">
      <c r="A1632" s="6"/>
      <c r="B1632" s="7"/>
      <c r="C1632" s="7"/>
      <c r="D1632" s="7"/>
      <c r="E1632" s="7"/>
    </row>
    <row r="1633" spans="1:5">
      <c r="A1633" s="6"/>
      <c r="B1633" s="7"/>
      <c r="C1633" s="7"/>
      <c r="D1633" s="7"/>
      <c r="E1633" s="7"/>
    </row>
    <row r="1634" spans="1:5">
      <c r="A1634" s="6"/>
      <c r="B1634" s="7"/>
      <c r="C1634" s="7"/>
      <c r="D1634" s="7"/>
      <c r="E1634" s="7"/>
    </row>
    <row r="1635" spans="1:5">
      <c r="A1635" s="6"/>
      <c r="B1635" s="7"/>
      <c r="C1635" s="7"/>
      <c r="D1635" s="7"/>
      <c r="E1635" s="7"/>
    </row>
    <row r="1636" spans="1:5">
      <c r="A1636" s="6"/>
      <c r="B1636" s="7"/>
      <c r="C1636" s="7"/>
      <c r="D1636" s="7"/>
      <c r="E1636" s="7"/>
    </row>
    <row r="1637" spans="1:5">
      <c r="A1637" s="6"/>
      <c r="B1637" s="7"/>
      <c r="C1637" s="7"/>
      <c r="D1637" s="7"/>
      <c r="E1637" s="7"/>
    </row>
    <row r="1638" spans="1:5">
      <c r="A1638" s="6"/>
      <c r="B1638" s="7"/>
      <c r="C1638" s="7"/>
      <c r="D1638" s="7"/>
      <c r="E1638" s="7"/>
    </row>
    <row r="1639" spans="1:5">
      <c r="A1639" s="6"/>
      <c r="B1639" s="7"/>
      <c r="C1639" s="7"/>
      <c r="D1639" s="7"/>
      <c r="E1639" s="7"/>
    </row>
    <row r="1640" spans="1:5">
      <c r="A1640" s="6"/>
      <c r="B1640" s="7"/>
      <c r="C1640" s="7"/>
      <c r="D1640" s="7"/>
      <c r="E1640" s="7"/>
    </row>
    <row r="1641" spans="1:5">
      <c r="A1641" s="6"/>
      <c r="B1641" s="7"/>
      <c r="C1641" s="7"/>
      <c r="D1641" s="7"/>
      <c r="E1641" s="7"/>
    </row>
    <row r="1642" spans="1:5">
      <c r="A1642" s="6"/>
      <c r="B1642" s="7"/>
      <c r="C1642" s="7"/>
      <c r="D1642" s="7"/>
      <c r="E1642" s="7"/>
    </row>
    <row r="1643" spans="1:5">
      <c r="A1643" s="6"/>
      <c r="B1643" s="7"/>
      <c r="C1643" s="7"/>
      <c r="D1643" s="7"/>
      <c r="E1643" s="7"/>
    </row>
    <row r="1644" spans="1:5">
      <c r="A1644" s="6"/>
      <c r="B1644" s="7"/>
      <c r="C1644" s="7"/>
      <c r="D1644" s="7"/>
      <c r="E1644" s="7"/>
    </row>
    <row r="1645" spans="1:5">
      <c r="A1645" s="6"/>
      <c r="B1645" s="7"/>
      <c r="C1645" s="7"/>
      <c r="D1645" s="7"/>
      <c r="E1645" s="7"/>
    </row>
    <row r="1646" spans="1:5">
      <c r="A1646" s="6"/>
      <c r="B1646" s="7"/>
      <c r="C1646" s="7"/>
      <c r="D1646" s="7"/>
      <c r="E1646" s="7"/>
    </row>
    <row r="1647" spans="1:5">
      <c r="A1647" s="6"/>
      <c r="B1647" s="7"/>
      <c r="C1647" s="7"/>
      <c r="D1647" s="7"/>
      <c r="E1647" s="7"/>
    </row>
    <row r="1648" spans="1:5">
      <c r="A1648" s="6"/>
      <c r="B1648" s="7"/>
      <c r="C1648" s="7"/>
      <c r="D1648" s="7"/>
      <c r="E1648" s="7"/>
    </row>
    <row r="1649" spans="1:5">
      <c r="A1649" s="6"/>
      <c r="B1649" s="7"/>
      <c r="C1649" s="7"/>
      <c r="D1649" s="7"/>
      <c r="E1649" s="7"/>
    </row>
    <row r="1650" spans="1:5">
      <c r="A1650" s="6"/>
      <c r="B1650" s="7"/>
      <c r="C1650" s="7"/>
      <c r="D1650" s="7"/>
      <c r="E1650" s="7"/>
    </row>
    <row r="1651" spans="1:5">
      <c r="A1651" s="6"/>
      <c r="B1651" s="7"/>
      <c r="C1651" s="7"/>
      <c r="D1651" s="7"/>
      <c r="E1651" s="7"/>
    </row>
    <row r="1652" spans="1:5">
      <c r="A1652" s="6"/>
      <c r="B1652" s="7"/>
      <c r="C1652" s="7"/>
      <c r="D1652" s="7"/>
      <c r="E1652" s="7"/>
    </row>
    <row r="1653" spans="1:5">
      <c r="A1653" s="6"/>
      <c r="B1653" s="7"/>
      <c r="C1653" s="7"/>
      <c r="D1653" s="7"/>
      <c r="E1653" s="7"/>
    </row>
    <row r="1654" spans="1:5">
      <c r="A1654" s="6"/>
      <c r="B1654" s="7"/>
      <c r="C1654" s="7"/>
      <c r="D1654" s="7"/>
      <c r="E1654" s="7"/>
    </row>
    <row r="1655" spans="1:5">
      <c r="A1655" s="6"/>
      <c r="B1655" s="7"/>
      <c r="C1655" s="7"/>
      <c r="D1655" s="7"/>
      <c r="E1655" s="7"/>
    </row>
    <row r="1656" spans="1:5">
      <c r="A1656" s="6"/>
      <c r="B1656" s="7"/>
      <c r="C1656" s="7"/>
      <c r="D1656" s="7"/>
      <c r="E1656" s="7"/>
    </row>
    <row r="1657" spans="1:5">
      <c r="A1657" s="6"/>
      <c r="B1657" s="7"/>
      <c r="C1657" s="7"/>
      <c r="D1657" s="7"/>
      <c r="E1657" s="7"/>
    </row>
    <row r="1658" spans="1:5">
      <c r="A1658" s="6"/>
      <c r="B1658" s="7"/>
      <c r="C1658" s="7"/>
      <c r="D1658" s="7"/>
      <c r="E1658" s="7"/>
    </row>
    <row r="1659" spans="1:5">
      <c r="A1659" s="6"/>
      <c r="B1659" s="7"/>
      <c r="C1659" s="7"/>
      <c r="D1659" s="7"/>
      <c r="E1659" s="7"/>
    </row>
    <row r="1660" spans="1:5">
      <c r="A1660" s="6"/>
      <c r="B1660" s="7"/>
      <c r="C1660" s="7"/>
      <c r="D1660" s="7"/>
      <c r="E1660" s="7"/>
    </row>
    <row r="1661" spans="1:5">
      <c r="A1661" s="6"/>
      <c r="B1661" s="7"/>
      <c r="C1661" s="7"/>
      <c r="D1661" s="7"/>
      <c r="E1661" s="7"/>
    </row>
    <row r="1662" spans="1:5">
      <c r="A1662" s="6"/>
      <c r="B1662" s="7"/>
      <c r="C1662" s="7"/>
      <c r="D1662" s="7"/>
      <c r="E1662" s="7"/>
    </row>
    <row r="1663" spans="1:5">
      <c r="A1663" s="6"/>
      <c r="B1663" s="7"/>
      <c r="C1663" s="7"/>
      <c r="D1663" s="7"/>
      <c r="E1663" s="7"/>
    </row>
    <row r="1664" spans="1:5">
      <c r="A1664" s="6"/>
      <c r="B1664" s="7"/>
      <c r="C1664" s="7"/>
      <c r="D1664" s="7"/>
      <c r="E1664" s="7"/>
    </row>
    <row r="1665" spans="1:5">
      <c r="A1665" s="6"/>
      <c r="B1665" s="7"/>
      <c r="C1665" s="7"/>
      <c r="D1665" s="7"/>
      <c r="E1665" s="7"/>
    </row>
    <row r="1666" spans="1:5">
      <c r="A1666" s="6"/>
      <c r="B1666" s="7"/>
      <c r="C1666" s="7"/>
      <c r="D1666" s="7"/>
      <c r="E1666" s="7"/>
    </row>
    <row r="1667" spans="1:5">
      <c r="A1667" s="6"/>
      <c r="B1667" s="7"/>
      <c r="C1667" s="7"/>
      <c r="D1667" s="7"/>
      <c r="E1667" s="7"/>
    </row>
    <row r="1668" spans="1:5">
      <c r="A1668" s="6"/>
      <c r="B1668" s="7"/>
      <c r="C1668" s="7"/>
      <c r="D1668" s="7"/>
      <c r="E1668" s="7"/>
    </row>
    <row r="1669" spans="1:5">
      <c r="A1669" s="6"/>
      <c r="B1669" s="7"/>
      <c r="C1669" s="7"/>
      <c r="D1669" s="7"/>
      <c r="E1669" s="7"/>
    </row>
    <row r="1670" spans="1:5">
      <c r="A1670" s="6"/>
      <c r="B1670" s="7"/>
      <c r="C1670" s="7"/>
      <c r="D1670" s="7"/>
      <c r="E1670" s="7"/>
    </row>
    <row r="1671" spans="1:5">
      <c r="A1671" s="6"/>
      <c r="B1671" s="7"/>
      <c r="C1671" s="7"/>
      <c r="D1671" s="7"/>
      <c r="E1671" s="7"/>
    </row>
    <row r="1672" spans="1:5">
      <c r="A1672" s="6"/>
      <c r="B1672" s="7"/>
      <c r="C1672" s="7"/>
      <c r="D1672" s="7"/>
      <c r="E1672" s="7"/>
    </row>
    <row r="1673" spans="1:5">
      <c r="A1673" s="6"/>
      <c r="B1673" s="7"/>
      <c r="C1673" s="7"/>
      <c r="D1673" s="7"/>
      <c r="E1673" s="7"/>
    </row>
    <row r="1674" spans="1:5">
      <c r="A1674" s="6"/>
      <c r="B1674" s="7"/>
      <c r="C1674" s="7"/>
      <c r="D1674" s="7"/>
      <c r="E1674" s="7"/>
    </row>
    <row r="1675" spans="1:5">
      <c r="A1675" s="6"/>
      <c r="B1675" s="7"/>
      <c r="C1675" s="7"/>
      <c r="D1675" s="7"/>
      <c r="E1675" s="7"/>
    </row>
    <row r="1676" spans="1:5">
      <c r="A1676" s="6"/>
      <c r="B1676" s="7"/>
      <c r="C1676" s="7"/>
      <c r="D1676" s="7"/>
      <c r="E1676" s="7"/>
    </row>
    <row r="1677" spans="1:5">
      <c r="A1677" s="6"/>
      <c r="B1677" s="7"/>
      <c r="C1677" s="7"/>
      <c r="D1677" s="7"/>
      <c r="E1677" s="7"/>
    </row>
    <row r="1678" spans="1:5">
      <c r="A1678" s="6"/>
      <c r="B1678" s="7"/>
      <c r="C1678" s="7"/>
      <c r="D1678" s="7"/>
      <c r="E1678" s="7"/>
    </row>
    <row r="1679" spans="1:5">
      <c r="A1679" s="6"/>
      <c r="B1679" s="7"/>
      <c r="C1679" s="7"/>
      <c r="D1679" s="7"/>
      <c r="E1679" s="7"/>
    </row>
    <row r="1680" spans="1:5">
      <c r="A1680" s="6"/>
      <c r="B1680" s="7"/>
      <c r="C1680" s="7"/>
      <c r="D1680" s="7"/>
      <c r="E1680" s="7"/>
    </row>
    <row r="1681" spans="1:5">
      <c r="A1681" s="6"/>
      <c r="B1681" s="7"/>
      <c r="C1681" s="7"/>
      <c r="D1681" s="7"/>
      <c r="E1681" s="7"/>
    </row>
    <row r="1682" spans="1:5">
      <c r="A1682" s="6"/>
      <c r="B1682" s="7"/>
      <c r="C1682" s="7"/>
      <c r="D1682" s="7"/>
      <c r="E1682" s="7"/>
    </row>
    <row r="1683" spans="1:5">
      <c r="A1683" s="6"/>
      <c r="B1683" s="7"/>
      <c r="C1683" s="7"/>
      <c r="D1683" s="7"/>
      <c r="E1683" s="7"/>
    </row>
    <row r="1684" spans="1:5">
      <c r="A1684" s="6"/>
      <c r="B1684" s="7"/>
      <c r="C1684" s="7"/>
      <c r="D1684" s="7"/>
      <c r="E1684" s="7"/>
    </row>
    <row r="1685" spans="1:5">
      <c r="A1685" s="6"/>
      <c r="B1685" s="7"/>
      <c r="C1685" s="7"/>
      <c r="D1685" s="7"/>
      <c r="E1685" s="7"/>
    </row>
    <row r="1686" spans="1:5">
      <c r="A1686" s="6"/>
      <c r="B1686" s="7"/>
      <c r="C1686" s="7"/>
      <c r="D1686" s="7"/>
      <c r="E1686" s="7"/>
    </row>
    <row r="1687" spans="1:5">
      <c r="A1687" s="6"/>
      <c r="B1687" s="7"/>
      <c r="C1687" s="7"/>
      <c r="D1687" s="7"/>
      <c r="E1687" s="7"/>
    </row>
    <row r="1688" spans="1:5">
      <c r="A1688" s="6"/>
      <c r="B1688" s="7"/>
      <c r="C1688" s="7"/>
      <c r="D1688" s="7"/>
      <c r="E1688" s="7"/>
    </row>
    <row r="1689" spans="1:5">
      <c r="A1689" s="6"/>
      <c r="B1689" s="7"/>
      <c r="C1689" s="7"/>
      <c r="D1689" s="7"/>
      <c r="E1689" s="7"/>
    </row>
    <row r="1690" spans="1:5">
      <c r="A1690" s="6"/>
      <c r="B1690" s="7"/>
      <c r="C1690" s="7"/>
      <c r="D1690" s="7"/>
      <c r="E1690" s="7"/>
    </row>
    <row r="1691" spans="1:5">
      <c r="A1691" s="6"/>
      <c r="B1691" s="7"/>
      <c r="C1691" s="7"/>
      <c r="D1691" s="7"/>
      <c r="E1691" s="7"/>
    </row>
    <row r="1692" spans="1:5">
      <c r="A1692" s="6"/>
      <c r="B1692" s="7"/>
      <c r="C1692" s="7"/>
      <c r="D1692" s="7"/>
      <c r="E1692" s="7"/>
    </row>
    <row r="1693" spans="1:5">
      <c r="A1693" s="6"/>
      <c r="B1693" s="7"/>
      <c r="C1693" s="7"/>
      <c r="D1693" s="7"/>
      <c r="E1693" s="7"/>
    </row>
    <row r="1694" spans="1:5">
      <c r="A1694" s="6"/>
      <c r="B1694" s="7"/>
      <c r="C1694" s="7"/>
      <c r="D1694" s="7"/>
      <c r="E1694" s="7"/>
    </row>
    <row r="1695" spans="1:5">
      <c r="A1695" s="6"/>
      <c r="B1695" s="7"/>
      <c r="C1695" s="7"/>
      <c r="D1695" s="7"/>
      <c r="E1695" s="7"/>
    </row>
    <row r="1696" spans="1:5">
      <c r="A1696" s="6"/>
      <c r="B1696" s="7"/>
      <c r="C1696" s="7"/>
      <c r="D1696" s="7"/>
      <c r="E1696" s="7"/>
    </row>
    <row r="1697" spans="1:5">
      <c r="A1697" s="6"/>
      <c r="B1697" s="7"/>
      <c r="C1697" s="7"/>
      <c r="D1697" s="7"/>
      <c r="E1697" s="7"/>
    </row>
    <row r="1698" spans="1:5">
      <c r="A1698" s="6"/>
      <c r="B1698" s="7"/>
      <c r="C1698" s="7"/>
      <c r="D1698" s="7"/>
      <c r="E1698" s="7"/>
    </row>
    <row r="1699" spans="1:5">
      <c r="A1699" s="6"/>
      <c r="B1699" s="7"/>
      <c r="C1699" s="7"/>
      <c r="D1699" s="7"/>
      <c r="E1699" s="7"/>
    </row>
    <row r="1700" spans="1:5">
      <c r="A1700" s="6"/>
      <c r="B1700" s="7"/>
      <c r="C1700" s="7"/>
      <c r="D1700" s="7"/>
      <c r="E1700" s="7"/>
    </row>
    <row r="1701" spans="1:5">
      <c r="A1701" s="6"/>
      <c r="B1701" s="7"/>
      <c r="C1701" s="7"/>
      <c r="D1701" s="7"/>
      <c r="E1701" s="7"/>
    </row>
    <row r="1702" spans="1:5">
      <c r="A1702" s="6"/>
      <c r="B1702" s="7"/>
      <c r="C1702" s="7"/>
      <c r="D1702" s="7"/>
      <c r="E1702" s="7"/>
    </row>
    <row r="1703" spans="1:5">
      <c r="A1703" s="6"/>
      <c r="B1703" s="7"/>
      <c r="C1703" s="7"/>
      <c r="D1703" s="7"/>
      <c r="E1703" s="7"/>
    </row>
    <row r="1704" spans="1:5">
      <c r="A1704" s="6"/>
      <c r="B1704" s="7"/>
      <c r="C1704" s="7"/>
      <c r="D1704" s="7"/>
      <c r="E1704" s="7"/>
    </row>
    <row r="1705" spans="1:5">
      <c r="A1705" s="6"/>
      <c r="B1705" s="7"/>
      <c r="C1705" s="7"/>
      <c r="D1705" s="7"/>
      <c r="E1705" s="7"/>
    </row>
    <row r="1706" spans="1:5">
      <c r="A1706" s="6"/>
      <c r="B1706" s="7"/>
      <c r="C1706" s="7"/>
      <c r="D1706" s="7"/>
      <c r="E1706" s="7"/>
    </row>
    <row r="1707" spans="1:5">
      <c r="A1707" s="6"/>
      <c r="B1707" s="7"/>
      <c r="C1707" s="7"/>
      <c r="D1707" s="7"/>
      <c r="E1707" s="7"/>
    </row>
    <row r="1708" spans="1:5">
      <c r="A1708" s="6"/>
      <c r="B1708" s="7"/>
      <c r="C1708" s="7"/>
      <c r="D1708" s="7"/>
      <c r="E1708" s="7"/>
    </row>
    <row r="1709" spans="1:5">
      <c r="A1709" s="6"/>
      <c r="B1709" s="7"/>
      <c r="C1709" s="7"/>
      <c r="D1709" s="7"/>
      <c r="E1709" s="7"/>
    </row>
    <row r="1710" spans="1:5">
      <c r="A1710" s="6"/>
      <c r="B1710" s="7"/>
      <c r="C1710" s="7"/>
      <c r="D1710" s="7"/>
      <c r="E1710" s="7"/>
    </row>
    <row r="1711" spans="1:5">
      <c r="A1711" s="6"/>
      <c r="B1711" s="7"/>
      <c r="C1711" s="7"/>
      <c r="D1711" s="7"/>
      <c r="E1711" s="7"/>
    </row>
    <row r="1712" spans="1:5">
      <c r="A1712" s="6"/>
      <c r="B1712" s="7"/>
      <c r="C1712" s="7"/>
      <c r="D1712" s="7"/>
      <c r="E1712" s="7"/>
    </row>
    <row r="1713" spans="1:5">
      <c r="A1713" s="6"/>
      <c r="B1713" s="7"/>
      <c r="C1713" s="7"/>
      <c r="D1713" s="7"/>
      <c r="E1713" s="7"/>
    </row>
    <row r="1714" spans="1:5">
      <c r="A1714" s="6"/>
      <c r="B1714" s="7"/>
      <c r="C1714" s="7"/>
      <c r="D1714" s="7"/>
      <c r="E1714" s="7"/>
    </row>
    <row r="1715" spans="1:5">
      <c r="A1715" s="6"/>
      <c r="B1715" s="7"/>
      <c r="C1715" s="7"/>
      <c r="D1715" s="7"/>
      <c r="E1715" s="7"/>
    </row>
    <row r="1716" spans="1:5">
      <c r="A1716" s="6"/>
      <c r="B1716" s="7"/>
      <c r="C1716" s="7"/>
      <c r="D1716" s="7"/>
      <c r="E1716" s="7"/>
    </row>
    <row r="1717" spans="1:5">
      <c r="A1717" s="6"/>
      <c r="B1717" s="7"/>
      <c r="C1717" s="7"/>
      <c r="D1717" s="7"/>
      <c r="E1717" s="7"/>
    </row>
    <row r="1718" spans="1:5">
      <c r="A1718" s="6"/>
      <c r="B1718" s="7"/>
      <c r="C1718" s="7"/>
      <c r="D1718" s="7"/>
      <c r="E1718" s="7"/>
    </row>
    <row r="1719" spans="1:5">
      <c r="A1719" s="6"/>
      <c r="B1719" s="7"/>
      <c r="C1719" s="7"/>
      <c r="D1719" s="7"/>
      <c r="E1719" s="7"/>
    </row>
    <row r="1720" spans="1:5">
      <c r="A1720" s="6"/>
      <c r="B1720" s="7"/>
      <c r="C1720" s="7"/>
      <c r="D1720" s="7"/>
      <c r="E1720" s="7"/>
    </row>
    <row r="1721" spans="1:5">
      <c r="A1721" s="6"/>
      <c r="B1721" s="7"/>
      <c r="C1721" s="7"/>
      <c r="D1721" s="7"/>
      <c r="E1721" s="7"/>
    </row>
    <row r="1722" spans="1:5">
      <c r="A1722" s="6"/>
      <c r="B1722" s="7"/>
      <c r="C1722" s="7"/>
      <c r="D1722" s="7"/>
      <c r="E1722" s="7"/>
    </row>
    <row r="1723" spans="1:5">
      <c r="A1723" s="6"/>
      <c r="B1723" s="7"/>
      <c r="C1723" s="7"/>
      <c r="D1723" s="7"/>
      <c r="E1723" s="7"/>
    </row>
    <row r="1724" spans="1:5">
      <c r="A1724" s="6"/>
      <c r="B1724" s="7"/>
      <c r="C1724" s="7"/>
      <c r="D1724" s="7"/>
      <c r="E1724" s="7"/>
    </row>
    <row r="1725" spans="1:5">
      <c r="A1725" s="6"/>
      <c r="B1725" s="7"/>
      <c r="C1725" s="7"/>
      <c r="D1725" s="7"/>
      <c r="E1725" s="7"/>
    </row>
    <row r="1726" spans="1:5">
      <c r="A1726" s="6"/>
      <c r="B1726" s="7"/>
      <c r="C1726" s="7"/>
      <c r="D1726" s="7"/>
      <c r="E1726" s="7"/>
    </row>
    <row r="1727" spans="1:5">
      <c r="A1727" s="6"/>
      <c r="B1727" s="7"/>
      <c r="C1727" s="7"/>
      <c r="D1727" s="7"/>
      <c r="E1727" s="7"/>
    </row>
    <row r="1728" spans="1:5">
      <c r="A1728" s="6"/>
      <c r="B1728" s="7"/>
      <c r="C1728" s="7"/>
      <c r="D1728" s="7"/>
      <c r="E1728" s="7"/>
    </row>
    <row r="1729" spans="1:5">
      <c r="A1729" s="6"/>
      <c r="B1729" s="7"/>
      <c r="C1729" s="7"/>
      <c r="D1729" s="7"/>
      <c r="E1729" s="7"/>
    </row>
    <row r="1730" spans="1:5">
      <c r="A1730" s="6"/>
      <c r="B1730" s="7"/>
      <c r="C1730" s="7"/>
      <c r="D1730" s="7"/>
      <c r="E1730" s="7"/>
    </row>
    <row r="1731" spans="1:5">
      <c r="A1731" s="6"/>
      <c r="B1731" s="7"/>
      <c r="C1731" s="7"/>
      <c r="D1731" s="7"/>
      <c r="E1731" s="7"/>
    </row>
    <row r="1732" spans="1:5">
      <c r="A1732" s="6"/>
      <c r="B1732" s="7"/>
      <c r="C1732" s="7"/>
      <c r="D1732" s="7"/>
      <c r="E1732" s="7"/>
    </row>
    <row r="1733" spans="1:5">
      <c r="A1733" s="6"/>
      <c r="B1733" s="7"/>
      <c r="C1733" s="7"/>
      <c r="D1733" s="7"/>
      <c r="E1733" s="7"/>
    </row>
    <row r="1734" spans="1:5">
      <c r="A1734" s="6"/>
      <c r="B1734" s="7"/>
      <c r="C1734" s="7"/>
      <c r="D1734" s="7"/>
      <c r="E1734" s="7"/>
    </row>
    <row r="1735" spans="1:5">
      <c r="A1735" s="6"/>
      <c r="B1735" s="7"/>
      <c r="C1735" s="7"/>
      <c r="D1735" s="7"/>
      <c r="E1735" s="7"/>
    </row>
    <row r="1736" spans="1:5">
      <c r="A1736" s="6"/>
      <c r="B1736" s="7"/>
      <c r="C1736" s="7"/>
      <c r="D1736" s="7"/>
      <c r="E1736" s="7"/>
    </row>
    <row r="1737" spans="1:5">
      <c r="A1737" s="6"/>
      <c r="B1737" s="7"/>
      <c r="C1737" s="7"/>
      <c r="D1737" s="7"/>
      <c r="E1737" s="7"/>
    </row>
    <row r="1738" spans="1:5">
      <c r="A1738" s="6"/>
      <c r="B1738" s="7"/>
      <c r="C1738" s="7"/>
      <c r="D1738" s="7"/>
      <c r="E1738" s="7"/>
    </row>
    <row r="1739" spans="1:5">
      <c r="A1739" s="6"/>
      <c r="B1739" s="7"/>
      <c r="C1739" s="7"/>
      <c r="D1739" s="7"/>
      <c r="E1739" s="7"/>
    </row>
    <row r="1740" spans="1:5">
      <c r="A1740" s="6"/>
      <c r="B1740" s="7"/>
      <c r="C1740" s="7"/>
      <c r="D1740" s="7"/>
      <c r="E1740" s="7"/>
    </row>
    <row r="1741" spans="1:5">
      <c r="A1741" s="6"/>
      <c r="B1741" s="7"/>
      <c r="C1741" s="7"/>
      <c r="D1741" s="7"/>
      <c r="E1741" s="7"/>
    </row>
    <row r="1742" spans="1:5">
      <c r="A1742" s="6"/>
      <c r="B1742" s="7"/>
      <c r="C1742" s="7"/>
      <c r="D1742" s="7"/>
      <c r="E1742" s="7"/>
    </row>
    <row r="1743" spans="1:5">
      <c r="A1743" s="6"/>
      <c r="B1743" s="7"/>
      <c r="C1743" s="7"/>
      <c r="D1743" s="7"/>
      <c r="E1743" s="7"/>
    </row>
    <row r="1744" spans="1:5">
      <c r="A1744" s="6"/>
      <c r="B1744" s="7"/>
      <c r="C1744" s="7"/>
      <c r="D1744" s="7"/>
      <c r="E1744" s="7"/>
    </row>
    <row r="1745" spans="1:5">
      <c r="A1745" s="6"/>
      <c r="B1745" s="7"/>
      <c r="C1745" s="7"/>
      <c r="D1745" s="7"/>
      <c r="E1745" s="7"/>
    </row>
    <row r="1746" spans="1:5">
      <c r="A1746" s="6"/>
      <c r="B1746" s="7"/>
      <c r="C1746" s="7"/>
      <c r="D1746" s="7"/>
      <c r="E1746" s="7"/>
    </row>
    <row r="1747" spans="1:5">
      <c r="A1747" s="6"/>
      <c r="B1747" s="7"/>
      <c r="C1747" s="7"/>
      <c r="D1747" s="7"/>
      <c r="E1747" s="7"/>
    </row>
    <row r="1748" spans="1:5">
      <c r="A1748" s="6"/>
      <c r="B1748" s="7"/>
      <c r="C1748" s="7"/>
      <c r="D1748" s="7"/>
      <c r="E1748" s="7"/>
    </row>
    <row r="1749" spans="1:5">
      <c r="A1749" s="6"/>
      <c r="B1749" s="7"/>
      <c r="C1749" s="7"/>
      <c r="D1749" s="7"/>
      <c r="E1749" s="7"/>
    </row>
    <row r="1750" spans="1:5">
      <c r="A1750" s="6"/>
      <c r="B1750" s="7"/>
      <c r="C1750" s="7"/>
      <c r="D1750" s="7"/>
      <c r="E1750" s="7"/>
    </row>
    <row r="1751" spans="1:5">
      <c r="A1751" s="6"/>
      <c r="B1751" s="7"/>
      <c r="C1751" s="7"/>
      <c r="D1751" s="7"/>
      <c r="E1751" s="7"/>
    </row>
    <row r="1752" spans="1:5">
      <c r="A1752" s="6"/>
      <c r="B1752" s="7"/>
      <c r="C1752" s="7"/>
      <c r="D1752" s="7"/>
      <c r="E1752" s="7"/>
    </row>
  </sheetData>
  <mergeCells count="5">
    <mergeCell ref="A5:G5"/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paperSize="9" orientation="landscape" r:id="rId1"/>
  <headerFooter alignWithMargins="0">
    <oddFooter>&amp;L&amp;D &amp;T&amp;CE:Data/Web/home/vantagefunds/www/PricesandReturns/Data/&amp;F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4"/>
  <sheetViews>
    <sheetView workbookViewId="0">
      <selection sqref="A1:C2"/>
    </sheetView>
  </sheetViews>
  <sheetFormatPr defaultRowHeight="12.75"/>
  <cols>
    <col min="1" max="3" width="16.28515625" customWidth="1"/>
    <col min="5" max="18" width="10.7109375" customWidth="1"/>
    <col min="19" max="19" width="13.85546875" customWidth="1"/>
  </cols>
  <sheetData>
    <row r="1" spans="1:20" ht="30" customHeight="1">
      <c r="A1" s="145" t="s">
        <v>28</v>
      </c>
      <c r="B1" s="146"/>
      <c r="C1" s="147"/>
      <c r="D1" s="13"/>
      <c r="E1" s="148" t="s">
        <v>14</v>
      </c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50"/>
    </row>
    <row r="2" spans="1:20" ht="12.75" customHeight="1" thickBot="1">
      <c r="A2" s="145"/>
      <c r="B2" s="146"/>
      <c r="C2" s="147"/>
      <c r="D2" s="13"/>
      <c r="E2" s="151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3"/>
    </row>
    <row r="3" spans="1:20" ht="13.5" thickBot="1">
      <c r="A3" s="125" t="s">
        <v>11</v>
      </c>
      <c r="B3" s="126" t="s">
        <v>12</v>
      </c>
      <c r="C3" s="127" t="s">
        <v>13</v>
      </c>
      <c r="E3" s="154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6"/>
    </row>
    <row r="4" spans="1:20" ht="16.5" thickBot="1">
      <c r="A4" s="129">
        <v>43983</v>
      </c>
      <c r="B4" s="128">
        <v>183.45427515164982</v>
      </c>
      <c r="C4" s="130">
        <f t="shared" ref="C4:C9" si="0">B4/B5-1</f>
        <v>2.7410773763007823E-2</v>
      </c>
      <c r="E4" s="7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20" s="116" customFormat="1" ht="16.5" thickBot="1">
      <c r="A5" s="89">
        <v>43952</v>
      </c>
      <c r="B5" s="88">
        <v>178.55981252729893</v>
      </c>
      <c r="C5" s="53">
        <f t="shared" si="0"/>
        <v>2.9726952683194918E-2</v>
      </c>
      <c r="E5" s="74"/>
      <c r="F5" s="75" t="s">
        <v>15</v>
      </c>
      <c r="G5" s="75" t="s">
        <v>16</v>
      </c>
      <c r="H5" s="75" t="s">
        <v>17</v>
      </c>
      <c r="I5" s="75" t="s">
        <v>18</v>
      </c>
      <c r="J5" s="75" t="s">
        <v>19</v>
      </c>
      <c r="K5" s="75" t="s">
        <v>20</v>
      </c>
      <c r="L5" s="75" t="s">
        <v>21</v>
      </c>
      <c r="M5" s="75" t="s">
        <v>22</v>
      </c>
      <c r="N5" s="75" t="s">
        <v>23</v>
      </c>
      <c r="O5" s="75" t="s">
        <v>24</v>
      </c>
      <c r="P5" s="75" t="s">
        <v>25</v>
      </c>
      <c r="Q5" s="75" t="s">
        <v>26</v>
      </c>
      <c r="R5" s="75" t="s">
        <v>27</v>
      </c>
      <c r="S5" s="75" t="s">
        <v>30</v>
      </c>
      <c r="T5" s="76" t="s">
        <v>29</v>
      </c>
    </row>
    <row r="6" spans="1:20" ht="15.75">
      <c r="A6" s="89">
        <v>43922</v>
      </c>
      <c r="B6" s="88">
        <v>173.40501</v>
      </c>
      <c r="C6" s="53">
        <f t="shared" si="0"/>
        <v>0.11915609529087989</v>
      </c>
      <c r="E6" s="92">
        <v>2008</v>
      </c>
      <c r="F6" s="93">
        <f>C153</f>
        <v>-1.5900000000000025E-2</v>
      </c>
      <c r="G6" s="93">
        <f>C152</f>
        <v>2.0627984960877921E-2</v>
      </c>
      <c r="H6" s="93">
        <f>C151</f>
        <v>0</v>
      </c>
      <c r="I6" s="93">
        <f>C150</f>
        <v>1.981282357626446E-2</v>
      </c>
      <c r="J6" s="93">
        <f>C149</f>
        <v>1.327736014839398E-2</v>
      </c>
      <c r="K6" s="93">
        <f>C148</f>
        <v>-6.619134791405723E-2</v>
      </c>
      <c r="L6" s="93">
        <f>C147</f>
        <v>-1.8468840280643883E-2</v>
      </c>
      <c r="M6" s="93">
        <f>C146</f>
        <v>-3.7842951750236442E-2</v>
      </c>
      <c r="N6" s="93">
        <f>C145</f>
        <v>-4.2718234458647419E-2</v>
      </c>
      <c r="O6" s="93">
        <f>C144</f>
        <v>-0.19972608993380503</v>
      </c>
      <c r="P6" s="93">
        <v>4.9799999999999997E-2</v>
      </c>
      <c r="Q6" s="93">
        <v>9.4299999999999995E-2</v>
      </c>
      <c r="R6" s="107">
        <f t="shared" ref="R6:R16" si="1">(1+F6)*(1+G6)*(1+H6)*(1+I6)*(1+J6)*(1+K6)*(1+L6)*(1+M6)*(1+N6)*(1+O6)*(1+P6)*(1+Q6)-1</f>
        <v>-0.19446414663199973</v>
      </c>
      <c r="S6" s="105">
        <f>R6</f>
        <v>-0.19446414663199973</v>
      </c>
      <c r="T6" s="94"/>
    </row>
    <row r="7" spans="1:20" ht="15.75">
      <c r="A7" s="89">
        <v>43891</v>
      </c>
      <c r="B7" s="88">
        <v>154.94264895633731</v>
      </c>
      <c r="C7" s="53">
        <f t="shared" si="0"/>
        <v>-0.22985994218866701</v>
      </c>
      <c r="E7" s="51">
        <v>2009</v>
      </c>
      <c r="F7" s="50">
        <v>-5.8599999999999999E-2</v>
      </c>
      <c r="G7" s="50">
        <v>-8.0699999999999994E-2</v>
      </c>
      <c r="H7" s="50">
        <v>0.1449</v>
      </c>
      <c r="I7" s="50">
        <f>C138</f>
        <v>4.0095226162135011E-2</v>
      </c>
      <c r="J7" s="50">
        <v>0.1018</v>
      </c>
      <c r="K7" s="50">
        <f>C136</f>
        <v>-3.6081347036955869E-3</v>
      </c>
      <c r="L7" s="50">
        <f>C135</f>
        <v>7.3411609788214705E-2</v>
      </c>
      <c r="M7" s="50">
        <f>C134</f>
        <v>4.8558576978123158E-2</v>
      </c>
      <c r="N7" s="50">
        <f>C133</f>
        <v>3.6560397777127829E-2</v>
      </c>
      <c r="O7" s="50">
        <f>C132</f>
        <v>6.3017306245296556E-3</v>
      </c>
      <c r="P7" s="50">
        <f>C131</f>
        <v>3.7573605009814104E-2</v>
      </c>
      <c r="Q7" s="50">
        <f>C130</f>
        <v>-5.585082425006771E-3</v>
      </c>
      <c r="R7" s="108">
        <f t="shared" si="1"/>
        <v>0.37048225555962744</v>
      </c>
      <c r="S7" s="106">
        <f t="shared" ref="S7:S13" si="2">(1+R7)*(1+S6)-1</f>
        <v>0.10397259325792629</v>
      </c>
      <c r="T7" s="72"/>
    </row>
    <row r="8" spans="1:20" ht="15.75">
      <c r="A8" s="89">
        <v>43862</v>
      </c>
      <c r="B8" s="88">
        <v>201.18762475058111</v>
      </c>
      <c r="C8" s="53">
        <f t="shared" si="0"/>
        <v>-5.7909771075032479E-2</v>
      </c>
      <c r="E8" s="51">
        <v>2010</v>
      </c>
      <c r="F8" s="50">
        <v>-5.1999999999999998E-3</v>
      </c>
      <c r="G8" s="50">
        <v>5.0000000000000001E-4</v>
      </c>
      <c r="H8" s="50">
        <v>3.9E-2</v>
      </c>
      <c r="I8" s="50">
        <v>3.3799999999999997E-2</v>
      </c>
      <c r="J8" s="50">
        <v>-7.8899999999999998E-2</v>
      </c>
      <c r="K8" s="50">
        <v>6.7999999999999996E-3</v>
      </c>
      <c r="L8" s="50">
        <v>2.2499999999999999E-2</v>
      </c>
      <c r="M8" s="50">
        <v>-6.6E-3</v>
      </c>
      <c r="N8" s="50">
        <v>7.5999999999999998E-2</v>
      </c>
      <c r="O8" s="50">
        <v>1.5599999999999999E-2</v>
      </c>
      <c r="P8" s="50">
        <v>2.8500000000000001E-2</v>
      </c>
      <c r="Q8" s="50">
        <v>4.8399999999999999E-2</v>
      </c>
      <c r="R8" s="108">
        <f t="shared" si="1"/>
        <v>0.1866118424768759</v>
      </c>
      <c r="S8" s="106">
        <f t="shared" si="2"/>
        <v>0.30998695292976253</v>
      </c>
      <c r="T8" s="72"/>
    </row>
    <row r="9" spans="1:20" s="116" customFormat="1" ht="15.75">
      <c r="A9" s="89">
        <v>43831</v>
      </c>
      <c r="B9" s="88">
        <v>213.554518</v>
      </c>
      <c r="C9" s="53">
        <f t="shared" si="0"/>
        <v>-3.7362017758983956E-3</v>
      </c>
      <c r="E9" s="51">
        <v>2011</v>
      </c>
      <c r="F9" s="50">
        <v>-1E-3</v>
      </c>
      <c r="G9" s="50">
        <v>1.18E-2</v>
      </c>
      <c r="H9" s="50">
        <v>-1.2E-2</v>
      </c>
      <c r="I9" s="50">
        <v>4.6100000000000002E-2</v>
      </c>
      <c r="J9" s="50">
        <v>-2.3699999999999999E-2</v>
      </c>
      <c r="K9" s="50">
        <v>5.4999999999999997E-3</v>
      </c>
      <c r="L9" s="50">
        <v>4.4200000000000003E-2</v>
      </c>
      <c r="M9" s="50">
        <v>-4.4299999999999999E-2</v>
      </c>
      <c r="N9" s="50">
        <v>-7.3800000000000004E-2</v>
      </c>
      <c r="O9" s="50">
        <v>6.2300000000000001E-2</v>
      </c>
      <c r="P9" s="50">
        <v>-1.5900000000000001E-2</v>
      </c>
      <c r="Q9" s="50">
        <v>-2.8400000000000002E-2</v>
      </c>
      <c r="R9" s="108">
        <f t="shared" si="1"/>
        <v>-3.7192099760286368E-2</v>
      </c>
      <c r="S9" s="106">
        <f t="shared" si="2"/>
        <v>0.26126578749172524</v>
      </c>
      <c r="T9" s="72"/>
    </row>
    <row r="10" spans="1:20" ht="15.75">
      <c r="A10" s="89">
        <v>43800</v>
      </c>
      <c r="B10" s="88">
        <v>214.35539299999999</v>
      </c>
      <c r="C10" s="53">
        <f t="shared" ref="C10:C16" si="3">B10/B11-1</f>
        <v>2.9275642572702099E-2</v>
      </c>
      <c r="E10" s="51">
        <v>2012</v>
      </c>
      <c r="F10" s="50">
        <v>5.4600000000000003E-2</v>
      </c>
      <c r="G10" s="50">
        <v>3.9699999999999999E-2</v>
      </c>
      <c r="H10" s="50">
        <v>-1.3899999999999999E-2</v>
      </c>
      <c r="I10" s="50">
        <v>-4.0599999999999997E-2</v>
      </c>
      <c r="J10" s="50">
        <v>-7.6399999999999996E-2</v>
      </c>
      <c r="K10" s="50">
        <v>7.4000000000000003E-3</v>
      </c>
      <c r="L10" s="50">
        <v>-5.4000000000000003E-3</v>
      </c>
      <c r="M10" s="50">
        <v>5.28E-2</v>
      </c>
      <c r="N10" s="50">
        <v>2.7E-2</v>
      </c>
      <c r="O10" s="50">
        <v>-3.3E-3</v>
      </c>
      <c r="P10" s="50">
        <v>1.15E-2</v>
      </c>
      <c r="Q10" s="50">
        <v>2.2599999999999999E-2</v>
      </c>
      <c r="R10" s="108">
        <f t="shared" si="1"/>
        <v>7.0048008795171812E-2</v>
      </c>
      <c r="S10" s="106">
        <f t="shared" si="2"/>
        <v>0.34961494446699493</v>
      </c>
      <c r="T10" s="72"/>
    </row>
    <row r="11" spans="1:20" s="116" customFormat="1" ht="15.75">
      <c r="A11" s="89">
        <v>43770</v>
      </c>
      <c r="B11" s="88">
        <v>208.25849183044198</v>
      </c>
      <c r="C11" s="53">
        <f t="shared" si="3"/>
        <v>2.6208714962207225E-2</v>
      </c>
      <c r="E11" s="51">
        <v>2013</v>
      </c>
      <c r="F11" s="50">
        <v>3.7400000000000003E-2</v>
      </c>
      <c r="G11" s="50">
        <v>-1.6899999999999998E-2</v>
      </c>
      <c r="H11" s="50">
        <v>2.9899999999999999E-2</v>
      </c>
      <c r="I11" s="50">
        <v>-7.0000000000000001E-3</v>
      </c>
      <c r="J11" s="50">
        <v>1.0200000000000001E-2</v>
      </c>
      <c r="K11" s="50">
        <v>-5.96E-2</v>
      </c>
      <c r="L11" s="50">
        <v>6.0699999999999997E-2</v>
      </c>
      <c r="M11" s="50">
        <v>8.0000000000000004E-4</v>
      </c>
      <c r="N11" s="50">
        <v>2.98E-2</v>
      </c>
      <c r="O11" s="50">
        <v>2.81E-2</v>
      </c>
      <c r="P11" s="50">
        <v>-1.0500000000000001E-2</v>
      </c>
      <c r="Q11" s="50">
        <v>1.41E-2</v>
      </c>
      <c r="R11" s="108">
        <f t="shared" si="1"/>
        <v>0.11746241392318946</v>
      </c>
      <c r="S11" s="106">
        <f t="shared" si="2"/>
        <v>0.50814397371089948</v>
      </c>
      <c r="T11" s="99"/>
    </row>
    <row r="12" spans="1:20" ht="15.75">
      <c r="A12" s="89">
        <v>43739</v>
      </c>
      <c r="B12" s="88">
        <v>202.93970300000001</v>
      </c>
      <c r="C12" s="53">
        <f t="shared" si="3"/>
        <v>2.5305739245537362E-2</v>
      </c>
      <c r="E12" s="51">
        <v>2014</v>
      </c>
      <c r="F12" s="50">
        <f>C81</f>
        <v>-3.6450973540054221E-3</v>
      </c>
      <c r="G12" s="50">
        <f>C80</f>
        <v>2.3060145512047603E-2</v>
      </c>
      <c r="H12" s="50">
        <f>C79</f>
        <v>-1.547689314287759E-2</v>
      </c>
      <c r="I12" s="50">
        <v>2.5499999999999998E-2</v>
      </c>
      <c r="J12" s="50">
        <v>-1.4E-2</v>
      </c>
      <c r="K12" s="50">
        <v>2.81E-2</v>
      </c>
      <c r="L12" s="50">
        <v>9.7999999999999997E-3</v>
      </c>
      <c r="M12" s="50">
        <v>3.5999999999999999E-3</v>
      </c>
      <c r="N12" s="50">
        <v>-3.0499999999999999E-2</v>
      </c>
      <c r="O12" s="50">
        <v>-5.9200000000000003E-2</v>
      </c>
      <c r="P12" s="50">
        <v>3.95E-2</v>
      </c>
      <c r="Q12" s="50">
        <v>-1.7899999999999999E-2</v>
      </c>
      <c r="R12" s="108">
        <f t="shared" si="1"/>
        <v>-1.5511999991501324E-2</v>
      </c>
      <c r="S12" s="106">
        <f t="shared" si="2"/>
        <v>0.48474964440351331</v>
      </c>
      <c r="T12" s="99"/>
    </row>
    <row r="13" spans="1:20" s="116" customFormat="1" ht="15.75">
      <c r="A13" s="89">
        <v>43709</v>
      </c>
      <c r="B13" s="88">
        <v>197.9309148794305</v>
      </c>
      <c r="C13" s="53">
        <f t="shared" si="3"/>
        <v>4.50447545417898E-3</v>
      </c>
      <c r="E13" s="51">
        <v>2015</v>
      </c>
      <c r="F13" s="50">
        <v>3.3599999999999998E-2</v>
      </c>
      <c r="G13" s="50">
        <v>1.7000000000000001E-2</v>
      </c>
      <c r="H13" s="50">
        <v>-5.4000000000000003E-3</v>
      </c>
      <c r="I13" s="50">
        <v>3.4299999999999997E-2</v>
      </c>
      <c r="J13" s="50">
        <v>-1.38E-2</v>
      </c>
      <c r="K13" s="50">
        <v>-3.3E-3</v>
      </c>
      <c r="L13" s="50">
        <v>-5.2699999999999997E-2</v>
      </c>
      <c r="M13" s="97">
        <v>-6.8699999999999997E-2</v>
      </c>
      <c r="N13" s="50">
        <v>-3.0000000000000001E-3</v>
      </c>
      <c r="O13" s="50">
        <v>7.6600000000000001E-2</v>
      </c>
      <c r="P13" s="50">
        <v>-1.6299999999999999E-2</v>
      </c>
      <c r="Q13" s="50">
        <v>-9.5999999999999992E-3</v>
      </c>
      <c r="R13" s="108">
        <f t="shared" si="1"/>
        <v>-1.9386502506138159E-2</v>
      </c>
      <c r="S13" s="106">
        <f t="shared" si="2"/>
        <v>0.45596554170129688</v>
      </c>
      <c r="T13" s="99"/>
    </row>
    <row r="14" spans="1:20" ht="15.75">
      <c r="A14" s="89">
        <v>43678</v>
      </c>
      <c r="B14" s="88">
        <v>197.04333800000001</v>
      </c>
      <c r="C14" s="53">
        <f t="shared" si="3"/>
        <v>-8.4198954309531171E-3</v>
      </c>
      <c r="E14" s="51">
        <v>2016</v>
      </c>
      <c r="F14" s="50">
        <f>C57</f>
        <v>-5.6108038959870044E-2</v>
      </c>
      <c r="G14" s="50">
        <v>2.7199999999999998E-2</v>
      </c>
      <c r="H14" s="50">
        <v>6.4399999999999999E-2</v>
      </c>
      <c r="I14" s="50">
        <v>5.4000000000000003E-3</v>
      </c>
      <c r="J14" s="50">
        <v>-1.1299999999999999E-2</v>
      </c>
      <c r="K14" s="50">
        <v>-1.6299999999999999E-2</v>
      </c>
      <c r="L14" s="50">
        <v>4.48E-2</v>
      </c>
      <c r="M14" s="50">
        <v>-7.4999999999999997E-3</v>
      </c>
      <c r="N14" s="50">
        <v>1.9199999999999998E-2</v>
      </c>
      <c r="O14" s="50">
        <v>-0.01</v>
      </c>
      <c r="P14" s="50">
        <v>-1.4200000000000001E-2</v>
      </c>
      <c r="Q14" s="50">
        <v>-6.1000000000000004E-3</v>
      </c>
      <c r="R14" s="108">
        <f t="shared" si="1"/>
        <v>3.4517981370570938E-2</v>
      </c>
      <c r="S14" s="106">
        <f>(1+R14)*(1+S13)-1</f>
        <v>0.50622253314593557</v>
      </c>
      <c r="T14" s="99"/>
    </row>
    <row r="15" spans="1:20" ht="15.75">
      <c r="A15" s="89">
        <v>43647</v>
      </c>
      <c r="B15" s="88">
        <v>198.71651023659606</v>
      </c>
      <c r="C15" s="53">
        <f t="shared" si="3"/>
        <v>1.7489687072555604E-2</v>
      </c>
      <c r="E15" s="51">
        <v>2017</v>
      </c>
      <c r="F15" s="50">
        <v>4.6699999999999998E-2</v>
      </c>
      <c r="G15" s="50">
        <v>5.0900000000000001E-2</v>
      </c>
      <c r="H15" s="50">
        <v>1.49E-2</v>
      </c>
      <c r="I15" s="50">
        <v>2.4199999999999999E-2</v>
      </c>
      <c r="J15" s="50">
        <v>3.5999999999999997E-2</v>
      </c>
      <c r="K15" s="50">
        <v>2.47E-2</v>
      </c>
      <c r="L15" s="50">
        <v>3.3399999999999999E-2</v>
      </c>
      <c r="M15" s="50">
        <v>7.3000000000000001E-3</v>
      </c>
      <c r="N15" s="50">
        <v>1.2800000000000001E-2</v>
      </c>
      <c r="O15" s="50">
        <v>3.1699999999999999E-2</v>
      </c>
      <c r="P15" s="50">
        <v>3.1699999999999999E-2</v>
      </c>
      <c r="Q15" s="50">
        <f>C34</f>
        <v>3.8239733828440148E-3</v>
      </c>
      <c r="R15" s="108">
        <f t="shared" si="1"/>
        <v>0.36729913817872473</v>
      </c>
      <c r="S15" s="106">
        <f>(1+R15)*(1+S14)-1</f>
        <v>1.0594567714758134</v>
      </c>
      <c r="T15" s="109"/>
    </row>
    <row r="16" spans="1:20" ht="15.75">
      <c r="A16" s="89">
        <v>43617</v>
      </c>
      <c r="B16" s="88">
        <v>195.30076104095775</v>
      </c>
      <c r="C16" s="53">
        <f t="shared" si="3"/>
        <v>3.5820368558736826E-2</v>
      </c>
      <c r="E16" s="51">
        <v>2018</v>
      </c>
      <c r="F16" s="50">
        <v>4.7199999999999999E-2</v>
      </c>
      <c r="G16" s="50">
        <v>-1.7500000000000002E-2</v>
      </c>
      <c r="H16" s="50">
        <v>-1.2800000000000001E-2</v>
      </c>
      <c r="I16" s="50">
        <v>1.21E-2</v>
      </c>
      <c r="J16" s="50">
        <v>-6.9999999999999999E-4</v>
      </c>
      <c r="K16" s="50">
        <v>-7.7999999999999996E-3</v>
      </c>
      <c r="L16" s="50">
        <v>3.9300000000000002E-2</v>
      </c>
      <c r="M16" s="50">
        <v>-9.1999999999999998E-3</v>
      </c>
      <c r="N16" s="50">
        <v>-1.32E-2</v>
      </c>
      <c r="O16" s="50">
        <v>-6.2399999999999997E-2</v>
      </c>
      <c r="P16" s="50">
        <v>-3.44E-2</v>
      </c>
      <c r="Q16" s="50">
        <v>-6.3399999999999998E-2</v>
      </c>
      <c r="R16" s="108">
        <f t="shared" si="1"/>
        <v>-0.12176457822246256</v>
      </c>
      <c r="S16" s="106">
        <f>(1+R16)*(1+S15)-1</f>
        <v>0.80868788632966648</v>
      </c>
      <c r="T16" s="109"/>
    </row>
    <row r="17" spans="1:21" ht="15.75">
      <c r="A17" s="89">
        <v>43586</v>
      </c>
      <c r="B17" s="88">
        <v>188.5469401540187</v>
      </c>
      <c r="C17" s="53">
        <f t="shared" ref="C17:C65" si="4">B17/B18-1</f>
        <v>-5.9252754786298545E-2</v>
      </c>
      <c r="E17" s="51">
        <v>2019</v>
      </c>
      <c r="F17" s="50">
        <v>5.1999999999999998E-2</v>
      </c>
      <c r="G17" s="50">
        <v>1.9400000000000001E-2</v>
      </c>
      <c r="H17" s="50">
        <v>-1.2357676402243167E-2</v>
      </c>
      <c r="I17" s="50">
        <v>4.6539424535781304E-2</v>
      </c>
      <c r="J17" s="50">
        <v>-5.9252754786298545E-2</v>
      </c>
      <c r="K17" s="50">
        <v>3.5820368558736826E-2</v>
      </c>
      <c r="L17" s="50">
        <v>1.7489687072555604E-2</v>
      </c>
      <c r="M17" s="50">
        <v>-8.4198954309531171E-3</v>
      </c>
      <c r="N17" s="50">
        <v>4.50447545417898E-3</v>
      </c>
      <c r="O17" s="50">
        <v>2.5305739245537362E-2</v>
      </c>
      <c r="P17" s="50">
        <v>2.6208714962207225E-2</v>
      </c>
      <c r="Q17" s="50">
        <v>2.9275642572702099E-2</v>
      </c>
      <c r="R17" s="131">
        <f>(1+F17)*(1+G17)*(1+H17)*(1+I17)*(1+J17)*(1+K17)*(1+L17)*(1+M17)*(1+N17)*(1+O17)*(1+P17)*(1+Q17)-1</f>
        <v>0.18550539839230562</v>
      </c>
      <c r="S17" s="50">
        <f>(1+R17)*(1+S16)-1</f>
        <v>1.1442092532505885</v>
      </c>
      <c r="T17" s="109"/>
    </row>
    <row r="18" spans="1:21" ht="16.5" thickBot="1">
      <c r="A18" s="89">
        <v>43556</v>
      </c>
      <c r="B18" s="88">
        <v>200.422527</v>
      </c>
      <c r="C18" s="53">
        <f t="shared" si="4"/>
        <v>4.6539424535781304E-2</v>
      </c>
      <c r="E18" s="77">
        <v>2020</v>
      </c>
      <c r="F18" s="132">
        <v>-3.7362017758983956E-3</v>
      </c>
      <c r="G18" s="132">
        <v>-5.7909771075032479E-2</v>
      </c>
      <c r="H18" s="132">
        <v>-0.22985994218866701</v>
      </c>
      <c r="I18" s="132">
        <v>0.11915609529087989</v>
      </c>
      <c r="J18" s="132">
        <v>2.9726952683194918E-2</v>
      </c>
      <c r="K18" s="132">
        <v>2.7410773763007823E-2</v>
      </c>
      <c r="L18" s="132"/>
      <c r="M18" s="132"/>
      <c r="N18" s="132"/>
      <c r="O18" s="132"/>
      <c r="P18" s="132"/>
      <c r="Q18" s="132"/>
      <c r="R18" s="133">
        <f>(1+F18)*(1+G18)*(1+H18)*(1+I18)*(1+J18)*(1+K18)*(1+L18)*(1+M18)*(1+N18)*(1+O18)*(1+P18)*(1+Q18)-1</f>
        <v>-0.14415834104229974</v>
      </c>
      <c r="S18" s="132">
        <f>(1+R18)*(1+S17)-1</f>
        <v>0.83510360445443532</v>
      </c>
      <c r="T18" s="134"/>
    </row>
    <row r="19" spans="1:21" ht="15">
      <c r="A19" s="89">
        <v>43525</v>
      </c>
      <c r="B19" s="88">
        <v>191.50977239954665</v>
      </c>
      <c r="C19" s="53">
        <f t="shared" si="4"/>
        <v>-1.2357676402243167E-2</v>
      </c>
      <c r="K19" s="50"/>
      <c r="P19" s="100" t="s">
        <v>36</v>
      </c>
      <c r="Q19" s="101">
        <v>39447</v>
      </c>
      <c r="R19" s="100"/>
      <c r="S19" s="100"/>
      <c r="T19" s="100"/>
    </row>
    <row r="20" spans="1:21" ht="15">
      <c r="A20" s="89">
        <v>43497</v>
      </c>
      <c r="B20" s="88">
        <v>193.90600000000001</v>
      </c>
      <c r="C20" s="53">
        <f t="shared" si="4"/>
        <v>1.9380242299028128E-2</v>
      </c>
      <c r="K20" s="110"/>
      <c r="P20" s="100" t="s">
        <v>35</v>
      </c>
      <c r="Q20" s="101">
        <v>44006</v>
      </c>
      <c r="R20" s="100"/>
      <c r="S20" s="100"/>
      <c r="T20" s="100"/>
    </row>
    <row r="21" spans="1:21" ht="15">
      <c r="A21" s="89">
        <v>43466</v>
      </c>
      <c r="B21" s="88">
        <v>190.21950000000001</v>
      </c>
      <c r="C21" s="53">
        <f t="shared" si="4"/>
        <v>5.2015215602297271E-2</v>
      </c>
      <c r="P21" s="100" t="s">
        <v>37</v>
      </c>
      <c r="Q21" s="102">
        <f>(Q20-Q19)/365.25</f>
        <v>12.481861738535249</v>
      </c>
      <c r="R21" s="100"/>
      <c r="S21" s="103" t="s">
        <v>29</v>
      </c>
      <c r="T21" s="104">
        <f>(1+S18)^(1/Q21)-1</f>
        <v>4.984092517274763E-2</v>
      </c>
    </row>
    <row r="22" spans="1:21" ht="15">
      <c r="A22" s="89">
        <v>43435</v>
      </c>
      <c r="B22" s="88">
        <v>180.81440000000001</v>
      </c>
      <c r="C22" s="53">
        <f t="shared" si="4"/>
        <v>-6.3429956044798508E-2</v>
      </c>
      <c r="P22" s="100"/>
      <c r="Q22" s="100"/>
      <c r="R22" s="100"/>
      <c r="S22" s="100"/>
      <c r="T22" s="100"/>
    </row>
    <row r="23" spans="1:21" ht="15">
      <c r="A23" s="89">
        <v>43405</v>
      </c>
      <c r="B23" s="88">
        <v>193.06020000000001</v>
      </c>
      <c r="C23" s="53">
        <f t="shared" si="4"/>
        <v>-3.4382760354015995E-2</v>
      </c>
    </row>
    <row r="24" spans="1:21" ht="15">
      <c r="A24" s="89">
        <v>43374</v>
      </c>
      <c r="B24" s="88">
        <v>199.93450000000001</v>
      </c>
      <c r="C24" s="53">
        <f t="shared" si="4"/>
        <v>-6.2407822080495223E-2</v>
      </c>
    </row>
    <row r="25" spans="1:21" ht="15">
      <c r="A25" s="89">
        <v>43344</v>
      </c>
      <c r="B25" s="88">
        <v>213.24250000000001</v>
      </c>
      <c r="C25" s="53">
        <f t="shared" si="4"/>
        <v>-1.321208565018761E-2</v>
      </c>
    </row>
    <row r="26" spans="1:21" ht="15">
      <c r="A26" s="89">
        <v>43313</v>
      </c>
      <c r="B26" s="88">
        <v>216.0976</v>
      </c>
      <c r="C26" s="53">
        <f t="shared" si="4"/>
        <v>-9.2442526588172313E-3</v>
      </c>
      <c r="S26" s="23"/>
      <c r="T26" s="23"/>
    </row>
    <row r="27" spans="1:21" ht="15">
      <c r="A27" s="89">
        <v>43282</v>
      </c>
      <c r="B27" s="88">
        <v>218.1139</v>
      </c>
      <c r="C27" s="53">
        <f t="shared" si="4"/>
        <v>3.9314658310747097E-2</v>
      </c>
    </row>
    <row r="28" spans="1:21" ht="15">
      <c r="A28" s="89">
        <v>43252</v>
      </c>
      <c r="B28" s="88">
        <v>209.86320000000001</v>
      </c>
      <c r="C28" s="53">
        <f t="shared" si="4"/>
        <v>-7.7601185790373561E-3</v>
      </c>
      <c r="U28" s="100"/>
    </row>
    <row r="29" spans="1:21" ht="15">
      <c r="A29" s="89">
        <v>43221</v>
      </c>
      <c r="B29" s="88">
        <v>211.50450000000001</v>
      </c>
      <c r="C29" s="53">
        <f t="shared" si="4"/>
        <v>-6.6054223997513706E-4</v>
      </c>
      <c r="U29" s="100"/>
    </row>
    <row r="30" spans="1:21" ht="15">
      <c r="A30" s="89">
        <v>43191</v>
      </c>
      <c r="B30" s="88">
        <v>211.64429999999999</v>
      </c>
      <c r="C30" s="53">
        <f t="shared" si="4"/>
        <v>1.2078803204309096E-2</v>
      </c>
      <c r="O30" s="135"/>
      <c r="U30" s="100"/>
    </row>
    <row r="31" spans="1:21" ht="15">
      <c r="A31" s="89">
        <v>43160</v>
      </c>
      <c r="B31" s="88">
        <v>209.11840000000001</v>
      </c>
      <c r="C31" s="53">
        <f t="shared" si="4"/>
        <v>-1.283764614358418E-2</v>
      </c>
      <c r="U31" s="100"/>
    </row>
    <row r="32" spans="1:21" ht="15">
      <c r="A32" s="89">
        <v>43132</v>
      </c>
      <c r="B32" s="88">
        <v>211.83789999999999</v>
      </c>
      <c r="C32" s="53">
        <f t="shared" si="4"/>
        <v>-1.749729257155852E-2</v>
      </c>
    </row>
    <row r="33" spans="1:20" s="24" customFormat="1" ht="15">
      <c r="A33" s="89">
        <v>43101</v>
      </c>
      <c r="B33" s="88">
        <v>215.6105</v>
      </c>
      <c r="C33" s="53">
        <f t="shared" si="4"/>
        <v>4.7237026865955878E-2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>
      <c r="A34" s="89">
        <v>43070</v>
      </c>
      <c r="B34" s="88">
        <v>205.88509999999999</v>
      </c>
      <c r="C34" s="53">
        <f t="shared" si="4"/>
        <v>3.8239733828440148E-3</v>
      </c>
    </row>
    <row r="35" spans="1:20" ht="15">
      <c r="A35" s="89">
        <v>43040</v>
      </c>
      <c r="B35" s="88">
        <v>205.10079999999999</v>
      </c>
      <c r="C35" s="53">
        <f t="shared" si="4"/>
        <v>3.1723746606416858E-2</v>
      </c>
    </row>
    <row r="36" spans="1:20" ht="15">
      <c r="A36" s="89">
        <v>43009</v>
      </c>
      <c r="B36" s="88">
        <v>198.79429999999999</v>
      </c>
      <c r="C36" s="53">
        <f t="shared" si="4"/>
        <v>3.1690089678651612E-2</v>
      </c>
    </row>
    <row r="37" spans="1:20" ht="15">
      <c r="A37" s="89">
        <v>42979</v>
      </c>
      <c r="B37" s="88">
        <v>192.68799999999999</v>
      </c>
      <c r="C37" s="53">
        <f t="shared" si="4"/>
        <v>1.2790761847945697E-2</v>
      </c>
    </row>
    <row r="38" spans="1:20" ht="15">
      <c r="A38" s="89">
        <v>42948</v>
      </c>
      <c r="B38" s="88">
        <v>190.25450000000001</v>
      </c>
      <c r="C38" s="53">
        <f t="shared" si="4"/>
        <v>7.3021723856956378E-3</v>
      </c>
    </row>
    <row r="39" spans="1:20" s="23" customFormat="1" ht="15">
      <c r="A39" s="89">
        <v>42917</v>
      </c>
      <c r="B39" s="88">
        <v>188.87530000000001</v>
      </c>
      <c r="C39" s="53">
        <f t="shared" si="4"/>
        <v>3.3372051098696343E-2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>
      <c r="A40" s="89">
        <v>42887</v>
      </c>
      <c r="B40" s="88">
        <v>182.7757</v>
      </c>
      <c r="C40" s="53">
        <f t="shared" si="4"/>
        <v>2.4715292545214318E-2</v>
      </c>
    </row>
    <row r="41" spans="1:20" ht="15">
      <c r="A41" s="89">
        <v>42856</v>
      </c>
      <c r="B41" s="88">
        <v>178.3673</v>
      </c>
      <c r="C41" s="53">
        <f t="shared" si="4"/>
        <v>3.6018705192253364E-2</v>
      </c>
    </row>
    <row r="42" spans="1:20" ht="15">
      <c r="A42" s="89">
        <v>42826</v>
      </c>
      <c r="B42" s="88">
        <v>172.1661</v>
      </c>
      <c r="C42" s="53">
        <f t="shared" si="4"/>
        <v>2.4161161658373231E-2</v>
      </c>
    </row>
    <row r="43" spans="1:20" ht="15">
      <c r="A43" s="89">
        <v>42795</v>
      </c>
      <c r="B43" s="88">
        <v>168.1045</v>
      </c>
      <c r="C43" s="53">
        <f t="shared" si="4"/>
        <v>1.4941151894164006E-2</v>
      </c>
    </row>
    <row r="44" spans="1:20" ht="15">
      <c r="A44" s="89">
        <v>42767</v>
      </c>
      <c r="B44" s="88">
        <v>165.62979999999999</v>
      </c>
      <c r="C44" s="53">
        <f t="shared" si="4"/>
        <v>5.0854490452648893E-2</v>
      </c>
    </row>
    <row r="45" spans="1:20" ht="15">
      <c r="A45" s="89">
        <v>42736</v>
      </c>
      <c r="B45" s="88">
        <v>157.61439999999999</v>
      </c>
      <c r="C45" s="53">
        <f t="shared" si="4"/>
        <v>4.6745258365061382E-2</v>
      </c>
      <c r="D45" s="20"/>
    </row>
    <row r="46" spans="1:20" ht="15">
      <c r="A46" s="89">
        <v>42705</v>
      </c>
      <c r="B46" s="88">
        <v>150.57570000000001</v>
      </c>
      <c r="C46" s="53">
        <f t="shared" si="4"/>
        <v>-6.0977098934319462E-3</v>
      </c>
    </row>
    <row r="47" spans="1:20" ht="15">
      <c r="A47" s="89">
        <v>42675</v>
      </c>
      <c r="B47" s="88">
        <v>151.49950000000001</v>
      </c>
      <c r="C47" s="53">
        <f t="shared" si="4"/>
        <v>-1.4215514672295426E-2</v>
      </c>
    </row>
    <row r="48" spans="1:20" ht="15">
      <c r="A48" s="89">
        <v>42644</v>
      </c>
      <c r="B48" s="88">
        <v>153.6842</v>
      </c>
      <c r="C48" s="53">
        <f t="shared" si="4"/>
        <v>-1.0040394762014793E-2</v>
      </c>
    </row>
    <row r="49" spans="1:3" ht="15">
      <c r="A49" s="89">
        <v>42614</v>
      </c>
      <c r="B49" s="88">
        <v>155.24289999999999</v>
      </c>
      <c r="C49" s="53">
        <f t="shared" si="4"/>
        <v>1.9176493990686883E-2</v>
      </c>
    </row>
    <row r="50" spans="1:3" ht="15">
      <c r="A50" s="89">
        <v>42583</v>
      </c>
      <c r="B50" s="88">
        <v>152.3219</v>
      </c>
      <c r="C50" s="53">
        <f t="shared" si="4"/>
        <v>-7.4595987272809694E-3</v>
      </c>
    </row>
    <row r="51" spans="1:3" ht="15">
      <c r="A51" s="89">
        <v>42552</v>
      </c>
      <c r="B51" s="88">
        <v>153.4667</v>
      </c>
      <c r="C51" s="53">
        <f t="shared" si="4"/>
        <v>4.4788607358813959E-2</v>
      </c>
    </row>
    <row r="52" spans="1:3" ht="15">
      <c r="A52" s="89">
        <v>42522</v>
      </c>
      <c r="B52" s="88">
        <v>146.8878</v>
      </c>
      <c r="C52" s="53">
        <f t="shared" si="4"/>
        <v>-1.6310906395112901E-2</v>
      </c>
    </row>
    <row r="53" spans="1:3" ht="15">
      <c r="A53" s="89">
        <v>42491</v>
      </c>
      <c r="B53" s="88">
        <v>149.32339999999999</v>
      </c>
      <c r="C53" s="53">
        <f t="shared" si="4"/>
        <v>-1.1277483569119728E-2</v>
      </c>
    </row>
    <row r="54" spans="1:3" ht="15">
      <c r="A54" s="89">
        <v>42461</v>
      </c>
      <c r="B54" s="88">
        <v>151.0266</v>
      </c>
      <c r="C54" s="53">
        <f t="shared" si="4"/>
        <v>5.411623573615465E-3</v>
      </c>
    </row>
    <row r="55" spans="1:3" ht="15">
      <c r="A55" s="89">
        <v>42430</v>
      </c>
      <c r="B55" s="88">
        <v>150.21369999999999</v>
      </c>
      <c r="C55" s="53">
        <f t="shared" si="4"/>
        <v>6.4398000361380436E-2</v>
      </c>
    </row>
    <row r="56" spans="1:3" ht="15">
      <c r="A56" s="89">
        <v>42401</v>
      </c>
      <c r="B56" s="88">
        <v>141.12549999999999</v>
      </c>
      <c r="C56" s="53">
        <f t="shared" si="4"/>
        <v>2.7203229391773887E-2</v>
      </c>
    </row>
    <row r="57" spans="1:3" ht="15">
      <c r="A57" s="89">
        <v>42370</v>
      </c>
      <c r="B57" s="88">
        <v>137.38810000000001</v>
      </c>
      <c r="C57" s="53">
        <f t="shared" si="4"/>
        <v>-5.6108038959870044E-2</v>
      </c>
    </row>
    <row r="58" spans="1:3" ht="15">
      <c r="A58" s="89">
        <v>42339</v>
      </c>
      <c r="B58" s="88">
        <v>145.5549</v>
      </c>
      <c r="C58" s="53">
        <f t="shared" si="4"/>
        <v>-9.5988448997588183E-3</v>
      </c>
    </row>
    <row r="59" spans="1:3" ht="15">
      <c r="A59" s="89">
        <v>42309</v>
      </c>
      <c r="B59" s="88">
        <v>146.96559999999999</v>
      </c>
      <c r="C59" s="53">
        <f t="shared" si="4"/>
        <v>-1.6268173177327316E-2</v>
      </c>
    </row>
    <row r="60" spans="1:3" ht="15">
      <c r="A60" s="89">
        <v>42278</v>
      </c>
      <c r="B60" s="88">
        <v>149.39599999999999</v>
      </c>
      <c r="C60" s="53">
        <f t="shared" si="4"/>
        <v>7.6580504291304141E-2</v>
      </c>
    </row>
    <row r="61" spans="1:3" ht="15">
      <c r="A61" s="89">
        <v>42248</v>
      </c>
      <c r="B61" s="88">
        <v>138.76900000000001</v>
      </c>
      <c r="C61" s="53">
        <f t="shared" si="4"/>
        <v>-3.0081681068082622E-3</v>
      </c>
    </row>
    <row r="62" spans="1:3" ht="15">
      <c r="A62" s="89">
        <v>42217</v>
      </c>
      <c r="B62" s="88">
        <v>139.18770000000001</v>
      </c>
      <c r="C62" s="53">
        <f t="shared" si="4"/>
        <v>-6.8712602194740513E-2</v>
      </c>
    </row>
    <row r="63" spans="1:3" ht="15">
      <c r="A63" s="89">
        <v>42186</v>
      </c>
      <c r="B63" s="88">
        <v>149.4573</v>
      </c>
      <c r="C63" s="53">
        <f t="shared" si="4"/>
        <v>-5.2684521006304719E-2</v>
      </c>
    </row>
    <row r="64" spans="1:3" ht="15">
      <c r="A64" s="89">
        <v>42156</v>
      </c>
      <c r="B64" s="88">
        <v>157.76929999999999</v>
      </c>
      <c r="C64" s="53">
        <f t="shared" si="4"/>
        <v>-3.3417920470404372E-3</v>
      </c>
    </row>
    <row r="65" spans="1:3" ht="15">
      <c r="A65" s="89">
        <v>42125</v>
      </c>
      <c r="B65" s="88">
        <v>158.29830000000001</v>
      </c>
      <c r="C65" s="53">
        <f t="shared" si="4"/>
        <v>-1.3791492224880297E-2</v>
      </c>
    </row>
    <row r="66" spans="1:3" ht="15">
      <c r="A66" s="89">
        <v>42095</v>
      </c>
      <c r="B66" s="88">
        <v>160.512</v>
      </c>
      <c r="C66" s="53">
        <f t="shared" ref="C66:C116" si="5">B66/B67-1</f>
        <v>3.4279451080306167E-2</v>
      </c>
    </row>
    <row r="67" spans="1:3" ht="15">
      <c r="A67" s="89">
        <v>42064</v>
      </c>
      <c r="B67" s="88">
        <v>155.19210000000001</v>
      </c>
      <c r="C67" s="53">
        <f t="shared" si="5"/>
        <v>-5.4109169398933732E-3</v>
      </c>
    </row>
    <row r="68" spans="1:3" ht="15">
      <c r="A68" s="89">
        <v>42036</v>
      </c>
      <c r="B68" s="88">
        <v>156.03639999999999</v>
      </c>
      <c r="C68" s="53">
        <f t="shared" si="5"/>
        <v>1.6991528351150365E-2</v>
      </c>
    </row>
    <row r="69" spans="1:3" ht="15">
      <c r="A69" s="89">
        <v>42005</v>
      </c>
      <c r="B69" s="88">
        <v>153.42939999999999</v>
      </c>
      <c r="C69" s="53">
        <f t="shared" si="5"/>
        <v>3.361293021620182E-2</v>
      </c>
    </row>
    <row r="70" spans="1:3" ht="15">
      <c r="A70" s="89">
        <v>41974</v>
      </c>
      <c r="B70" s="88">
        <v>148.43989999999999</v>
      </c>
      <c r="C70" s="53">
        <f t="shared" si="5"/>
        <v>-1.7913627416927258E-2</v>
      </c>
    </row>
    <row r="71" spans="1:3" ht="15">
      <c r="A71" s="89">
        <v>41944</v>
      </c>
      <c r="B71" s="88">
        <v>151.14750000000001</v>
      </c>
      <c r="C71" s="53">
        <f t="shared" si="5"/>
        <v>3.9463115126140647E-2</v>
      </c>
    </row>
    <row r="72" spans="1:3" ht="15">
      <c r="A72" s="89">
        <v>41913</v>
      </c>
      <c r="B72" s="88">
        <v>145.4092</v>
      </c>
      <c r="C72" s="53">
        <f t="shared" si="5"/>
        <v>-5.9221312270885784E-2</v>
      </c>
    </row>
    <row r="73" spans="1:3" ht="15">
      <c r="A73" s="89">
        <v>41883</v>
      </c>
      <c r="B73" s="88">
        <v>154.5626</v>
      </c>
      <c r="C73" s="53">
        <f t="shared" si="5"/>
        <v>-3.0542782789663936E-2</v>
      </c>
    </row>
    <row r="74" spans="1:3" ht="15">
      <c r="A74" s="89">
        <v>41852</v>
      </c>
      <c r="B74" s="88">
        <v>159.43209999999999</v>
      </c>
      <c r="C74" s="53">
        <f t="shared" si="5"/>
        <v>3.5911762187965657E-3</v>
      </c>
    </row>
    <row r="75" spans="1:3" ht="15">
      <c r="A75" s="89">
        <v>41821</v>
      </c>
      <c r="B75" s="88">
        <v>158.86160000000001</v>
      </c>
      <c r="C75" s="53">
        <f t="shared" si="5"/>
        <v>9.8132569868127906E-3</v>
      </c>
    </row>
    <row r="76" spans="1:3" ht="15">
      <c r="A76" s="89">
        <v>41791</v>
      </c>
      <c r="B76" s="52">
        <v>157.31780000000001</v>
      </c>
      <c r="C76" s="53">
        <f t="shared" si="5"/>
        <v>2.8056291639574127E-2</v>
      </c>
    </row>
    <row r="77" spans="1:3" ht="15">
      <c r="A77" s="55" t="s">
        <v>34</v>
      </c>
      <c r="B77" s="52">
        <v>153.02449999999999</v>
      </c>
      <c r="C77" s="53">
        <f t="shared" si="5"/>
        <v>-1.4009773271442927E-2</v>
      </c>
    </row>
    <row r="78" spans="1:3" ht="15">
      <c r="A78" s="55">
        <v>41730</v>
      </c>
      <c r="B78" s="52">
        <v>155.19880000000001</v>
      </c>
      <c r="C78" s="53">
        <f t="shared" si="5"/>
        <v>2.5488068697659738E-2</v>
      </c>
    </row>
    <row r="79" spans="1:3" ht="15">
      <c r="A79" s="55">
        <v>41699</v>
      </c>
      <c r="B79" s="52">
        <v>151.34139999999999</v>
      </c>
      <c r="C79" s="53">
        <f t="shared" si="5"/>
        <v>-1.547689314287759E-2</v>
      </c>
    </row>
    <row r="80" spans="1:3" ht="15">
      <c r="A80" s="89">
        <v>41671</v>
      </c>
      <c r="B80" s="88">
        <v>153.720516</v>
      </c>
      <c r="C80" s="53">
        <f t="shared" si="5"/>
        <v>2.3060145512047603E-2</v>
      </c>
    </row>
    <row r="81" spans="1:3" ht="15">
      <c r="A81" s="55">
        <v>41640</v>
      </c>
      <c r="B81" s="52">
        <v>150.25559999999999</v>
      </c>
      <c r="C81" s="53">
        <f t="shared" si="5"/>
        <v>-3.6450973540054221E-3</v>
      </c>
    </row>
    <row r="82" spans="1:3" ht="15">
      <c r="A82" s="55">
        <v>41609</v>
      </c>
      <c r="B82" s="52">
        <v>150.80529999999999</v>
      </c>
      <c r="C82" s="53">
        <f t="shared" si="5"/>
        <v>1.4114389158771834E-2</v>
      </c>
    </row>
    <row r="83" spans="1:3" ht="15">
      <c r="A83" s="55">
        <v>41579</v>
      </c>
      <c r="B83" s="52">
        <v>148.7064</v>
      </c>
      <c r="C83" s="53">
        <f t="shared" si="5"/>
        <v>-1.0461902093844455E-2</v>
      </c>
    </row>
    <row r="84" spans="1:3" ht="15">
      <c r="A84" s="55">
        <v>41548</v>
      </c>
      <c r="B84" s="52">
        <v>150.27860000000001</v>
      </c>
      <c r="C84" s="53">
        <f t="shared" si="5"/>
        <v>2.8138612547266684E-2</v>
      </c>
    </row>
    <row r="85" spans="1:3" ht="15">
      <c r="A85" s="55">
        <v>41518</v>
      </c>
      <c r="B85" s="52">
        <v>146.16569999999999</v>
      </c>
      <c r="C85" s="53">
        <f t="shared" si="5"/>
        <v>2.9839231286276524E-2</v>
      </c>
    </row>
    <row r="86" spans="1:3" ht="15">
      <c r="A86" s="55">
        <v>41487</v>
      </c>
      <c r="B86" s="52">
        <v>141.9306</v>
      </c>
      <c r="C86" s="53">
        <f t="shared" si="5"/>
        <v>7.7845046051261413E-4</v>
      </c>
    </row>
    <row r="87" spans="1:3" ht="15">
      <c r="A87" s="55">
        <v>41456</v>
      </c>
      <c r="B87" s="52">
        <v>141.8202</v>
      </c>
      <c r="C87" s="53">
        <f t="shared" si="5"/>
        <v>6.074796762561685E-2</v>
      </c>
    </row>
    <row r="88" spans="1:3" ht="15">
      <c r="A88" s="55">
        <v>41426</v>
      </c>
      <c r="B88" s="52">
        <v>133.69829999999999</v>
      </c>
      <c r="C88" s="53">
        <f t="shared" si="5"/>
        <v>-5.9571322258126669E-2</v>
      </c>
    </row>
    <row r="89" spans="1:3" ht="15">
      <c r="A89" s="55">
        <v>41395</v>
      </c>
      <c r="B89" s="52">
        <v>142.16739999999999</v>
      </c>
      <c r="C89" s="53">
        <f t="shared" si="5"/>
        <v>1.0178711890227454E-2</v>
      </c>
    </row>
    <row r="90" spans="1:3" ht="15">
      <c r="A90" s="55">
        <v>41365</v>
      </c>
      <c r="B90" s="52">
        <v>140.73490000000001</v>
      </c>
      <c r="C90" s="53">
        <f t="shared" si="5"/>
        <v>-6.9930711372647725E-3</v>
      </c>
    </row>
    <row r="91" spans="1:3" ht="15">
      <c r="A91" s="55">
        <v>41334</v>
      </c>
      <c r="B91" s="52">
        <v>141.726</v>
      </c>
      <c r="C91" s="53">
        <f t="shared" si="5"/>
        <v>2.9926334171221258E-2</v>
      </c>
    </row>
    <row r="92" spans="1:3" ht="15">
      <c r="A92" s="55">
        <v>41306</v>
      </c>
      <c r="B92" s="52">
        <v>137.6079</v>
      </c>
      <c r="C92" s="53">
        <f t="shared" si="5"/>
        <v>-1.6931244146397462E-2</v>
      </c>
    </row>
    <row r="93" spans="1:3" ht="15">
      <c r="A93" s="55">
        <v>41275</v>
      </c>
      <c r="B93" s="52">
        <v>139.97790000000001</v>
      </c>
      <c r="C93" s="53">
        <f t="shared" si="5"/>
        <v>3.7385109987593923E-2</v>
      </c>
    </row>
    <row r="94" spans="1:3" ht="15">
      <c r="A94" s="55">
        <v>41244</v>
      </c>
      <c r="B94" s="52">
        <v>134.93340000000001</v>
      </c>
      <c r="C94" s="53">
        <f t="shared" si="5"/>
        <v>2.2581405447516856E-2</v>
      </c>
    </row>
    <row r="95" spans="1:3" ht="15">
      <c r="A95" s="55">
        <v>41214</v>
      </c>
      <c r="B95" s="52">
        <v>131.9537</v>
      </c>
      <c r="C95" s="53">
        <f t="shared" si="5"/>
        <v>1.1471195150593472E-2</v>
      </c>
    </row>
    <row r="96" spans="1:3" ht="15">
      <c r="A96" s="55">
        <v>41183</v>
      </c>
      <c r="B96" s="52">
        <v>130.4572</v>
      </c>
      <c r="C96" s="53">
        <f t="shared" si="5"/>
        <v>-3.3233454705475785E-3</v>
      </c>
    </row>
    <row r="97" spans="1:3" ht="15">
      <c r="A97" s="55">
        <v>41153</v>
      </c>
      <c r="B97" s="52">
        <v>130.8922</v>
      </c>
      <c r="C97" s="53">
        <f t="shared" si="5"/>
        <v>2.7037248600195962E-2</v>
      </c>
    </row>
    <row r="98" spans="1:3" ht="15">
      <c r="A98" s="55">
        <v>41122</v>
      </c>
      <c r="B98" s="52">
        <v>127.4464</v>
      </c>
      <c r="C98" s="53">
        <f t="shared" si="5"/>
        <v>5.279053130870226E-2</v>
      </c>
    </row>
    <row r="99" spans="1:3" ht="15">
      <c r="A99" s="55">
        <v>41091</v>
      </c>
      <c r="B99" s="52">
        <v>121.0558</v>
      </c>
      <c r="C99" s="53">
        <f t="shared" si="5"/>
        <v>-5.4445297962101291E-3</v>
      </c>
    </row>
    <row r="100" spans="1:3" ht="15">
      <c r="A100" s="55">
        <v>41061</v>
      </c>
      <c r="B100" s="52">
        <v>121.71850000000001</v>
      </c>
      <c r="C100" s="53">
        <f t="shared" si="5"/>
        <v>7.4283444103260265E-3</v>
      </c>
    </row>
    <row r="101" spans="1:3" ht="15">
      <c r="A101" s="55">
        <v>41030</v>
      </c>
      <c r="B101" s="52">
        <v>120.821</v>
      </c>
      <c r="C101" s="53">
        <f t="shared" si="5"/>
        <v>-7.644668056342252E-2</v>
      </c>
    </row>
    <row r="102" spans="1:3" ht="15">
      <c r="A102" s="55">
        <v>41000</v>
      </c>
      <c r="B102" s="52">
        <v>130.8219</v>
      </c>
      <c r="C102" s="53">
        <f t="shared" si="5"/>
        <v>-4.0594819639286017E-2</v>
      </c>
    </row>
    <row r="103" spans="1:3" ht="15">
      <c r="A103" s="55">
        <v>40969</v>
      </c>
      <c r="B103" s="52">
        <v>136.35730000000001</v>
      </c>
      <c r="C103" s="53">
        <f t="shared" si="5"/>
        <v>-1.3937199080736429E-2</v>
      </c>
    </row>
    <row r="104" spans="1:3" ht="15">
      <c r="A104" s="55">
        <v>40940</v>
      </c>
      <c r="B104" s="52">
        <v>138.28460000000001</v>
      </c>
      <c r="C104" s="53">
        <f t="shared" si="5"/>
        <v>3.9677551290456359E-2</v>
      </c>
    </row>
    <row r="105" spans="1:3" ht="15">
      <c r="A105" s="55">
        <v>40909</v>
      </c>
      <c r="B105" s="52">
        <v>133.00720000000001</v>
      </c>
      <c r="C105" s="53">
        <f t="shared" si="5"/>
        <v>5.4631723507975183E-2</v>
      </c>
    </row>
    <row r="106" spans="1:3" ht="15">
      <c r="A106" s="55">
        <v>40878</v>
      </c>
      <c r="B106" s="52">
        <v>126.1172</v>
      </c>
      <c r="C106" s="53">
        <f t="shared" si="5"/>
        <v>-2.8383361042330857E-2</v>
      </c>
    </row>
    <row r="107" spans="1:3" ht="15">
      <c r="A107" s="55">
        <v>40848</v>
      </c>
      <c r="B107" s="52">
        <v>129.8014</v>
      </c>
      <c r="C107" s="53">
        <f t="shared" si="5"/>
        <v>-1.589860074117655E-2</v>
      </c>
    </row>
    <row r="108" spans="1:3" ht="15">
      <c r="A108" s="55">
        <v>40817</v>
      </c>
      <c r="B108" s="52">
        <v>131.89840000000001</v>
      </c>
      <c r="C108" s="53">
        <f t="shared" si="5"/>
        <v>6.2324319709536669E-2</v>
      </c>
    </row>
    <row r="109" spans="1:3" ht="15">
      <c r="A109" s="55">
        <v>40787</v>
      </c>
      <c r="B109" s="52">
        <v>124.1602</v>
      </c>
      <c r="C109" s="53">
        <f t="shared" si="5"/>
        <v>-7.3763820598725438E-2</v>
      </c>
    </row>
    <row r="110" spans="1:3" ht="15">
      <c r="A110" s="55">
        <v>40756</v>
      </c>
      <c r="B110" s="52">
        <v>134.04810000000001</v>
      </c>
      <c r="C110" s="53">
        <f t="shared" si="5"/>
        <v>-4.4250986599360442E-2</v>
      </c>
    </row>
    <row r="111" spans="1:3" ht="15">
      <c r="A111" s="55">
        <v>40725</v>
      </c>
      <c r="B111" s="52">
        <v>140.25450000000001</v>
      </c>
      <c r="C111" s="53">
        <f t="shared" si="5"/>
        <v>4.4226894848050424E-2</v>
      </c>
    </row>
    <row r="112" spans="1:3" ht="15">
      <c r="A112" s="55">
        <v>40695</v>
      </c>
      <c r="B112" s="52">
        <v>134.3142</v>
      </c>
      <c r="C112" s="53">
        <f t="shared" si="5"/>
        <v>5.4729977070453462E-3</v>
      </c>
    </row>
    <row r="113" spans="1:3" ht="15">
      <c r="A113" s="55">
        <v>40664</v>
      </c>
      <c r="B113" s="52">
        <v>133.5831</v>
      </c>
      <c r="C113" s="53">
        <f t="shared" si="5"/>
        <v>-2.3724450830341026E-2</v>
      </c>
    </row>
    <row r="114" spans="1:3" ht="15">
      <c r="A114" s="55">
        <v>40634</v>
      </c>
      <c r="B114" s="52">
        <v>136.82929999999999</v>
      </c>
      <c r="C114" s="53">
        <f t="shared" si="5"/>
        <v>4.6077971165622511E-2</v>
      </c>
    </row>
    <row r="115" spans="1:3" ht="15">
      <c r="A115" s="55">
        <v>40603</v>
      </c>
      <c r="B115" s="52">
        <v>130.8022</v>
      </c>
      <c r="C115" s="53">
        <f t="shared" si="5"/>
        <v>-1.2017979761815845E-2</v>
      </c>
    </row>
    <row r="116" spans="1:3" ht="15">
      <c r="A116" s="55">
        <v>40575</v>
      </c>
      <c r="B116" s="52">
        <v>132.39330000000001</v>
      </c>
      <c r="C116" s="53">
        <f t="shared" si="5"/>
        <v>1.1824578646211004E-2</v>
      </c>
    </row>
    <row r="117" spans="1:3" ht="15">
      <c r="A117" s="55">
        <v>40544</v>
      </c>
      <c r="B117" s="52">
        <v>130.84610000000001</v>
      </c>
      <c r="C117" s="53">
        <f t="shared" ref="C117:C127" si="6">B117/B118-1</f>
        <v>-9.9788664862776599E-4</v>
      </c>
    </row>
    <row r="118" spans="1:3" ht="15">
      <c r="A118" s="55">
        <v>40513</v>
      </c>
      <c r="B118" s="52">
        <v>130.9768</v>
      </c>
      <c r="C118" s="53">
        <f t="shared" si="6"/>
        <v>4.8392273821330267E-2</v>
      </c>
    </row>
    <row r="119" spans="1:3" ht="15">
      <c r="A119" s="55">
        <v>40483</v>
      </c>
      <c r="B119" s="52">
        <v>124.9311</v>
      </c>
      <c r="C119" s="53">
        <f t="shared" si="6"/>
        <v>2.853494542876911E-2</v>
      </c>
    </row>
    <row r="120" spans="1:3" ht="15">
      <c r="A120" s="55">
        <v>40452</v>
      </c>
      <c r="B120" s="52">
        <v>121.46510000000001</v>
      </c>
      <c r="C120" s="53">
        <f t="shared" si="6"/>
        <v>1.5355075141145758E-2</v>
      </c>
    </row>
    <row r="121" spans="1:3" ht="15">
      <c r="A121" s="55">
        <v>40422</v>
      </c>
      <c r="B121" s="52">
        <v>119.62820000000001</v>
      </c>
      <c r="C121" s="53">
        <f>B121/B122-1</f>
        <v>7.5998301834522497E-2</v>
      </c>
    </row>
    <row r="122" spans="1:3" ht="15">
      <c r="A122" s="55">
        <v>40391</v>
      </c>
      <c r="B122" s="52">
        <v>111.1788</v>
      </c>
      <c r="C122" s="53">
        <f t="shared" si="6"/>
        <v>-6.557790134631758E-3</v>
      </c>
    </row>
    <row r="123" spans="1:3" ht="15">
      <c r="A123" s="55">
        <v>40360</v>
      </c>
      <c r="B123" s="52">
        <v>111.9127</v>
      </c>
      <c r="C123" s="53">
        <f t="shared" si="6"/>
        <v>2.2523106947982541E-2</v>
      </c>
    </row>
    <row r="124" spans="1:3" ht="15">
      <c r="A124" s="55">
        <v>40330</v>
      </c>
      <c r="B124" s="52">
        <v>109.44759999999999</v>
      </c>
      <c r="C124" s="53">
        <f t="shared" si="6"/>
        <v>6.7553894099336986E-3</v>
      </c>
    </row>
    <row r="125" spans="1:3" ht="15">
      <c r="A125" s="55">
        <v>40299</v>
      </c>
      <c r="B125" s="52">
        <v>108.7132</v>
      </c>
      <c r="C125" s="53">
        <f t="shared" si="6"/>
        <v>-7.8935863763449965E-2</v>
      </c>
    </row>
    <row r="126" spans="1:3" ht="15">
      <c r="A126" s="55">
        <v>40269</v>
      </c>
      <c r="B126" s="52">
        <v>118.03</v>
      </c>
      <c r="C126" s="53">
        <f t="shared" si="6"/>
        <v>3.380923184724538E-2</v>
      </c>
    </row>
    <row r="127" spans="1:3" ht="15">
      <c r="A127" s="55">
        <v>40238</v>
      </c>
      <c r="B127" s="52">
        <v>114.17</v>
      </c>
      <c r="C127" s="53">
        <f t="shared" si="6"/>
        <v>3.9042591918456493E-2</v>
      </c>
    </row>
    <row r="128" spans="1:3" ht="15">
      <c r="A128" s="55">
        <v>40210</v>
      </c>
      <c r="B128" s="52">
        <f>'Vantage World Equity Fund'!B557</f>
        <v>109.88</v>
      </c>
      <c r="C128" s="53">
        <f t="shared" ref="C128:C133" si="7">B128/B129-1</f>
        <v>5.4634857038782236E-4</v>
      </c>
    </row>
    <row r="129" spans="1:3" ht="15">
      <c r="A129" s="55">
        <v>40179</v>
      </c>
      <c r="B129" s="52">
        <f>'Vantage World Equity Fund'!B561</f>
        <v>109.82</v>
      </c>
      <c r="C129" s="53">
        <f t="shared" si="7"/>
        <v>-5.1635111876076056E-3</v>
      </c>
    </row>
    <row r="130" spans="1:3" ht="15">
      <c r="A130" s="55">
        <v>40148</v>
      </c>
      <c r="B130" s="52">
        <f>'Vantage World Equity Fund'!B565</f>
        <v>110.39</v>
      </c>
      <c r="C130" s="53">
        <f t="shared" si="7"/>
        <v>-5.585082425006771E-3</v>
      </c>
    </row>
    <row r="131" spans="1:3" ht="15">
      <c r="A131" s="55">
        <v>40118</v>
      </c>
      <c r="B131" s="52">
        <v>111.01</v>
      </c>
      <c r="C131" s="53">
        <f t="shared" si="7"/>
        <v>3.7573605009814104E-2</v>
      </c>
    </row>
    <row r="132" spans="1:3" ht="15">
      <c r="A132" s="55">
        <v>40087</v>
      </c>
      <c r="B132" s="52">
        <f>'Vantage World Equity Fund'!B574</f>
        <v>106.99</v>
      </c>
      <c r="C132" s="53">
        <f t="shared" si="7"/>
        <v>6.3017306245296556E-3</v>
      </c>
    </row>
    <row r="133" spans="1:3" ht="15">
      <c r="A133" s="55">
        <v>40057</v>
      </c>
      <c r="B133" s="52">
        <f>'Vantage World Equity Fund'!B579</f>
        <v>106.32</v>
      </c>
      <c r="C133" s="53">
        <f t="shared" si="7"/>
        <v>3.6560397777127829E-2</v>
      </c>
    </row>
    <row r="134" spans="1:3" ht="15">
      <c r="A134" s="55">
        <v>40026</v>
      </c>
      <c r="B134" s="52">
        <f>'Vantage World Equity Fund'!B583</f>
        <v>102.57</v>
      </c>
      <c r="C134" s="53">
        <f t="shared" ref="C134:C140" si="8">B134/B135-1</f>
        <v>4.8558576978123158E-2</v>
      </c>
    </row>
    <row r="135" spans="1:3" ht="15">
      <c r="A135" s="55">
        <v>39995</v>
      </c>
      <c r="B135" s="52">
        <v>97.82</v>
      </c>
      <c r="C135" s="53">
        <f t="shared" si="8"/>
        <v>7.3411609788214705E-2</v>
      </c>
    </row>
    <row r="136" spans="1:3" ht="15">
      <c r="A136" s="55">
        <v>39965</v>
      </c>
      <c r="B136" s="52">
        <v>91.13</v>
      </c>
      <c r="C136" s="53">
        <f t="shared" si="8"/>
        <v>-3.6081347036955869E-3</v>
      </c>
    </row>
    <row r="137" spans="1:3" ht="15">
      <c r="A137" s="55">
        <v>39934</v>
      </c>
      <c r="B137" s="52">
        <v>91.46</v>
      </c>
      <c r="C137" s="53">
        <f t="shared" si="8"/>
        <v>0.10179496446211278</v>
      </c>
    </row>
    <row r="138" spans="1:3" ht="15">
      <c r="A138" s="55">
        <v>39904</v>
      </c>
      <c r="B138" s="52">
        <v>83.01</v>
      </c>
      <c r="C138" s="53">
        <f t="shared" si="8"/>
        <v>4.0095226162135011E-2</v>
      </c>
    </row>
    <row r="139" spans="1:3" ht="15">
      <c r="A139" s="55">
        <v>39873</v>
      </c>
      <c r="B139" s="52">
        <v>79.81</v>
      </c>
      <c r="C139" s="53">
        <f t="shared" si="8"/>
        <v>0.1448859561038589</v>
      </c>
    </row>
    <row r="140" spans="1:3" ht="15">
      <c r="A140" s="55">
        <v>39845</v>
      </c>
      <c r="B140" s="52">
        <v>69.709999999999994</v>
      </c>
      <c r="C140" s="53">
        <f t="shared" si="8"/>
        <v>-8.0706844256890453E-2</v>
      </c>
    </row>
    <row r="141" spans="1:3" ht="15">
      <c r="A141" s="55">
        <v>39814</v>
      </c>
      <c r="B141" s="52">
        <v>75.83</v>
      </c>
      <c r="C141" s="53">
        <f t="shared" ref="C141:C153" si="9">B141/B142-1</f>
        <v>-5.8597144630664122E-2</v>
      </c>
    </row>
    <row r="142" spans="1:3" ht="15">
      <c r="A142" s="56">
        <v>39783</v>
      </c>
      <c r="B142" s="52">
        <v>80.55</v>
      </c>
      <c r="C142" s="53">
        <f t="shared" si="9"/>
        <v>9.4280668387447308E-2</v>
      </c>
    </row>
    <row r="143" spans="1:3" ht="15">
      <c r="A143" s="56">
        <v>39753</v>
      </c>
      <c r="B143" s="52">
        <v>73.61</v>
      </c>
      <c r="C143" s="53">
        <f t="shared" si="9"/>
        <v>4.9771819737592704E-2</v>
      </c>
    </row>
    <row r="144" spans="1:3" ht="15">
      <c r="A144" s="56">
        <v>39722</v>
      </c>
      <c r="B144" s="52">
        <v>70.12</v>
      </c>
      <c r="C144" s="53">
        <f t="shared" si="9"/>
        <v>-0.19972608993380503</v>
      </c>
    </row>
    <row r="145" spans="1:3" ht="15">
      <c r="A145" s="56">
        <v>39692</v>
      </c>
      <c r="B145" s="52">
        <v>87.62</v>
      </c>
      <c r="C145" s="53">
        <f t="shared" si="9"/>
        <v>-4.2718234458647419E-2</v>
      </c>
    </row>
    <row r="146" spans="1:3" ht="15">
      <c r="A146" s="56">
        <v>39661</v>
      </c>
      <c r="B146" s="52">
        <v>91.53</v>
      </c>
      <c r="C146" s="53">
        <f t="shared" si="9"/>
        <v>-3.7842951750236442E-2</v>
      </c>
    </row>
    <row r="147" spans="1:3" ht="15">
      <c r="A147" s="56">
        <v>39630</v>
      </c>
      <c r="B147" s="52">
        <v>95.13</v>
      </c>
      <c r="C147" s="53">
        <f t="shared" si="9"/>
        <v>-1.8468840280643883E-2</v>
      </c>
    </row>
    <row r="148" spans="1:3" ht="15">
      <c r="A148" s="56">
        <v>39600</v>
      </c>
      <c r="B148" s="52">
        <v>96.92</v>
      </c>
      <c r="C148" s="53">
        <f t="shared" si="9"/>
        <v>-6.619134791405723E-2</v>
      </c>
    </row>
    <row r="149" spans="1:3" ht="15">
      <c r="A149" s="56">
        <v>39569</v>
      </c>
      <c r="B149" s="52">
        <v>103.79</v>
      </c>
      <c r="C149" s="53">
        <f t="shared" si="9"/>
        <v>1.327736014839398E-2</v>
      </c>
    </row>
    <row r="150" spans="1:3" ht="15">
      <c r="A150" s="56">
        <v>39539</v>
      </c>
      <c r="B150" s="52">
        <v>102.43</v>
      </c>
      <c r="C150" s="53">
        <f t="shared" si="9"/>
        <v>1.981282357626446E-2</v>
      </c>
    </row>
    <row r="151" spans="1:3" ht="15">
      <c r="A151" s="56">
        <v>39508</v>
      </c>
      <c r="B151" s="52">
        <v>100.44</v>
      </c>
      <c r="C151" s="53">
        <f t="shared" si="9"/>
        <v>0</v>
      </c>
    </row>
    <row r="152" spans="1:3" ht="15">
      <c r="A152" s="56">
        <v>39479</v>
      </c>
      <c r="B152" s="52">
        <v>100.44</v>
      </c>
      <c r="C152" s="53">
        <f t="shared" si="9"/>
        <v>2.0627984960877921E-2</v>
      </c>
    </row>
    <row r="153" spans="1:3" ht="15">
      <c r="A153" s="56">
        <v>39448</v>
      </c>
      <c r="B153" s="52">
        <v>98.41</v>
      </c>
      <c r="C153" s="53">
        <f t="shared" si="9"/>
        <v>-1.5900000000000025E-2</v>
      </c>
    </row>
    <row r="154" spans="1:3" ht="15.75" thickBot="1">
      <c r="A154" s="57">
        <v>39417</v>
      </c>
      <c r="B154" s="58">
        <v>100</v>
      </c>
      <c r="C154" s="54"/>
    </row>
  </sheetData>
  <mergeCells count="2">
    <mergeCell ref="A1:C2"/>
    <mergeCell ref="E1:T3"/>
  </mergeCells>
  <phoneticPr fontId="0" type="noConversion"/>
  <pageMargins left="0.75" right="0.75" top="1" bottom="1" header="0.5" footer="0.5"/>
  <pageSetup scale="6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Vantage World Equity Fund</vt:lpstr>
      <vt:lpstr>Monthly Returns</vt:lpstr>
      <vt:lpstr>'Monthly Returns'!Print_Area</vt:lpstr>
    </vt:vector>
  </TitlesOfParts>
  <Company>Vantage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2009-02-20T18:10:43Z</cp:lastPrinted>
  <dcterms:created xsi:type="dcterms:W3CDTF">2001-11-06T09:52:02Z</dcterms:created>
  <dcterms:modified xsi:type="dcterms:W3CDTF">2020-07-15T08:44:57Z</dcterms:modified>
</cp:coreProperties>
</file>